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mbeddings/oleObject1.bin" ContentType="application/vnd.openxmlformats-officedocument.oleObject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E0F9" lockStructure="1"/>
  <bookViews>
    <workbookView xWindow="-12" yWindow="48" windowWidth="11976" windowHeight="11760" tabRatio="876"/>
  </bookViews>
  <sheets>
    <sheet name="Instructions" sheetId="24" r:id="rId1"/>
    <sheet name="User Input" sheetId="15" r:id="rId2"/>
    <sheet name="Efficiency" sheetId="16" r:id="rId3"/>
    <sheet name="PE99155_eff_calc" sheetId="6" state="hidden" r:id="rId4"/>
    <sheet name="Sheet1" sheetId="21" state="hidden" r:id="rId5"/>
    <sheet name="data" sheetId="22" state="hidden" r:id="rId6"/>
    <sheet name="Summary" sheetId="20" r:id="rId7"/>
  </sheets>
  <calcPr calcId="145621"/>
</workbook>
</file>

<file path=xl/calcChain.xml><?xml version="1.0" encoding="utf-8"?>
<calcChain xmlns="http://schemas.openxmlformats.org/spreadsheetml/2006/main">
  <c r="D45" i="15" l="1"/>
  <c r="E10" i="15"/>
  <c r="E13" i="15"/>
  <c r="E16" i="15"/>
  <c r="E17" i="15"/>
  <c r="E19" i="15"/>
  <c r="E47" i="15"/>
  <c r="C44" i="20" l="1"/>
  <c r="C77" i="15" l="1"/>
  <c r="E77" i="15" s="1"/>
  <c r="C76" i="15"/>
  <c r="C46" i="20"/>
  <c r="C53" i="20"/>
  <c r="C79" i="15"/>
  <c r="C80" i="15" s="1"/>
  <c r="E80" i="15" s="1"/>
  <c r="C43" i="20"/>
  <c r="F58" i="20"/>
  <c r="F57" i="20"/>
  <c r="F56" i="20"/>
  <c r="F55" i="20"/>
  <c r="C57" i="20"/>
  <c r="C56" i="20"/>
  <c r="C55" i="20"/>
  <c r="C52" i="20"/>
  <c r="C51" i="20"/>
  <c r="C50" i="20"/>
  <c r="C48" i="20"/>
  <c r="C45" i="20"/>
  <c r="C52" i="15"/>
  <c r="D51" i="15"/>
  <c r="D41" i="15"/>
  <c r="C11" i="15"/>
  <c r="C24" i="15" s="1"/>
  <c r="C12" i="15"/>
  <c r="C37" i="15" s="1"/>
  <c r="C39" i="15"/>
  <c r="C33" i="15"/>
  <c r="D73" i="15" s="1"/>
  <c r="C15" i="15"/>
  <c r="C29" i="15" s="1"/>
  <c r="C14" i="15"/>
  <c r="L9" i="21"/>
  <c r="D22" i="21"/>
  <c r="G23" i="21"/>
  <c r="K23" i="21"/>
  <c r="H23" i="21"/>
  <c r="I23" i="21"/>
  <c r="L23" i="21"/>
  <c r="G24" i="21"/>
  <c r="J24" i="21"/>
  <c r="L24" i="21"/>
  <c r="G25" i="21"/>
  <c r="K25" i="21"/>
  <c r="H25" i="21"/>
  <c r="I25" i="21"/>
  <c r="L25" i="21"/>
  <c r="G26" i="21"/>
  <c r="J26" i="21"/>
  <c r="L26" i="21"/>
  <c r="G27" i="21"/>
  <c r="K27" i="21"/>
  <c r="L27" i="21"/>
  <c r="G28" i="21"/>
  <c r="K28" i="21" s="1"/>
  <c r="L28" i="21"/>
  <c r="G29" i="21"/>
  <c r="K29" i="21"/>
  <c r="L29" i="21"/>
  <c r="M29" i="21" s="1"/>
  <c r="G30" i="21"/>
  <c r="J30" i="21"/>
  <c r="L30" i="21"/>
  <c r="G31" i="21"/>
  <c r="K31" i="21" s="1"/>
  <c r="L31" i="21"/>
  <c r="G32" i="21"/>
  <c r="J32" i="21"/>
  <c r="L32" i="21"/>
  <c r="G33" i="21"/>
  <c r="K33" i="21" s="1"/>
  <c r="L33" i="21"/>
  <c r="G34" i="21"/>
  <c r="J34" i="21"/>
  <c r="L34" i="21"/>
  <c r="G35" i="21"/>
  <c r="K35" i="21" s="1"/>
  <c r="L35" i="21"/>
  <c r="G10" i="21"/>
  <c r="J10" i="21"/>
  <c r="M10" i="21" s="1"/>
  <c r="L10" i="21"/>
  <c r="G11" i="21"/>
  <c r="K11" i="21" s="1"/>
  <c r="M11" i="21" s="1"/>
  <c r="J11" i="21"/>
  <c r="L11" i="21"/>
  <c r="G12" i="21"/>
  <c r="K12" i="21" s="1"/>
  <c r="J12" i="21"/>
  <c r="M12" i="21" s="1"/>
  <c r="L12" i="21"/>
  <c r="G13" i="21"/>
  <c r="K13" i="21" s="1"/>
  <c r="L13" i="21"/>
  <c r="G14" i="21"/>
  <c r="H14" i="21" s="1"/>
  <c r="I14" i="21" s="1"/>
  <c r="J14" i="21"/>
  <c r="K14" i="21"/>
  <c r="M14" i="21" s="1"/>
  <c r="L14" i="21"/>
  <c r="G15" i="21"/>
  <c r="J15" i="21"/>
  <c r="M15" i="21" s="1"/>
  <c r="K15" i="21"/>
  <c r="L15" i="21"/>
  <c r="G16" i="21"/>
  <c r="H16" i="21" s="1"/>
  <c r="I16" i="21" s="1"/>
  <c r="J16" i="21"/>
  <c r="L16" i="21"/>
  <c r="G17" i="21"/>
  <c r="J17" i="21" s="1"/>
  <c r="L17" i="21"/>
  <c r="G18" i="21"/>
  <c r="K18" i="21" s="1"/>
  <c r="M18" i="21" s="1"/>
  <c r="J18" i="21"/>
  <c r="L18" i="21"/>
  <c r="G19" i="21"/>
  <c r="H19" i="21" s="1"/>
  <c r="I19" i="21" s="1"/>
  <c r="J19" i="21"/>
  <c r="L19" i="21"/>
  <c r="G20" i="21"/>
  <c r="J20" i="21" s="1"/>
  <c r="L20" i="21"/>
  <c r="G21" i="21"/>
  <c r="J21" i="21"/>
  <c r="L21" i="21"/>
  <c r="G22" i="21"/>
  <c r="J22" i="21" s="1"/>
  <c r="L22" i="21"/>
  <c r="G9" i="21"/>
  <c r="K9" i="21"/>
  <c r="H12" i="21"/>
  <c r="I12" i="21"/>
  <c r="H15" i="21"/>
  <c r="I15" i="21"/>
  <c r="H18" i="21"/>
  <c r="I18" i="21"/>
  <c r="D2" i="6"/>
  <c r="AD22" i="6" s="1"/>
  <c r="C81" i="15"/>
  <c r="C82" i="15" s="1"/>
  <c r="E82" i="15" s="1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46" i="6"/>
  <c r="O20" i="6"/>
  <c r="V20" i="6" s="1"/>
  <c r="R20" i="6"/>
  <c r="W20" i="6" s="1"/>
  <c r="S20" i="6"/>
  <c r="T20" i="6"/>
  <c r="U20" i="6"/>
  <c r="Z20" i="6"/>
  <c r="O21" i="6"/>
  <c r="V21" i="6" s="1"/>
  <c r="R21" i="6"/>
  <c r="W21" i="6" s="1"/>
  <c r="S21" i="6"/>
  <c r="T21" i="6"/>
  <c r="U21" i="6"/>
  <c r="Z21" i="6"/>
  <c r="O22" i="6"/>
  <c r="V22" i="6" s="1"/>
  <c r="R22" i="6"/>
  <c r="W22" i="6" s="1"/>
  <c r="S22" i="6"/>
  <c r="T22" i="6"/>
  <c r="U22" i="6"/>
  <c r="Z22" i="6"/>
  <c r="O23" i="6"/>
  <c r="V23" i="6" s="1"/>
  <c r="R23" i="6"/>
  <c r="W23" i="6" s="1"/>
  <c r="S23" i="6"/>
  <c r="T23" i="6"/>
  <c r="U23" i="6"/>
  <c r="Z23" i="6"/>
  <c r="O24" i="6"/>
  <c r="V24" i="6" s="1"/>
  <c r="R24" i="6"/>
  <c r="W24" i="6" s="1"/>
  <c r="S24" i="6"/>
  <c r="T24" i="6"/>
  <c r="U24" i="6"/>
  <c r="Z24" i="6"/>
  <c r="O25" i="6"/>
  <c r="V25" i="6" s="1"/>
  <c r="R25" i="6"/>
  <c r="W25" i="6" s="1"/>
  <c r="S25" i="6"/>
  <c r="T25" i="6"/>
  <c r="U25" i="6"/>
  <c r="Z25" i="6"/>
  <c r="O26" i="6"/>
  <c r="R26" i="6"/>
  <c r="W26" i="6" s="1"/>
  <c r="S26" i="6"/>
  <c r="T26" i="6"/>
  <c r="U26" i="6"/>
  <c r="Z26" i="6"/>
  <c r="O27" i="6"/>
  <c r="R27" i="6"/>
  <c r="W27" i="6" s="1"/>
  <c r="S27" i="6"/>
  <c r="T27" i="6"/>
  <c r="U27" i="6"/>
  <c r="Z27" i="6"/>
  <c r="O28" i="6"/>
  <c r="V28" i="6" s="1"/>
  <c r="R28" i="6"/>
  <c r="W28" i="6" s="1"/>
  <c r="S28" i="6"/>
  <c r="T28" i="6"/>
  <c r="U28" i="6"/>
  <c r="Z28" i="6"/>
  <c r="O29" i="6"/>
  <c r="V29" i="6" s="1"/>
  <c r="R29" i="6"/>
  <c r="W29" i="6" s="1"/>
  <c r="S29" i="6"/>
  <c r="T29" i="6"/>
  <c r="U29" i="6"/>
  <c r="Z29" i="6"/>
  <c r="O30" i="6"/>
  <c r="R30" i="6"/>
  <c r="W30" i="6" s="1"/>
  <c r="S30" i="6"/>
  <c r="T30" i="6"/>
  <c r="U30" i="6"/>
  <c r="Z30" i="6"/>
  <c r="O31" i="6"/>
  <c r="R31" i="6"/>
  <c r="W31" i="6" s="1"/>
  <c r="S31" i="6"/>
  <c r="T31" i="6"/>
  <c r="U31" i="6"/>
  <c r="Z31" i="6"/>
  <c r="O32" i="6"/>
  <c r="V32" i="6" s="1"/>
  <c r="R32" i="6"/>
  <c r="W32" i="6" s="1"/>
  <c r="S32" i="6"/>
  <c r="T32" i="6"/>
  <c r="U32" i="6"/>
  <c r="Z32" i="6"/>
  <c r="O33" i="6"/>
  <c r="V33" i="6" s="1"/>
  <c r="R33" i="6"/>
  <c r="W33" i="6" s="1"/>
  <c r="S33" i="6"/>
  <c r="T33" i="6"/>
  <c r="U33" i="6"/>
  <c r="Z33" i="6"/>
  <c r="O34" i="6"/>
  <c r="V34" i="6" s="1"/>
  <c r="R34" i="6"/>
  <c r="W34" i="6" s="1"/>
  <c r="S34" i="6"/>
  <c r="T34" i="6"/>
  <c r="U34" i="6"/>
  <c r="Z34" i="6"/>
  <c r="O35" i="6"/>
  <c r="V35" i="6" s="1"/>
  <c r="R35" i="6"/>
  <c r="W35" i="6" s="1"/>
  <c r="S35" i="6"/>
  <c r="T35" i="6"/>
  <c r="U35" i="6"/>
  <c r="Z35" i="6"/>
  <c r="O36" i="6"/>
  <c r="V36" i="6" s="1"/>
  <c r="R36" i="6"/>
  <c r="W36" i="6" s="1"/>
  <c r="S36" i="6"/>
  <c r="T36" i="6"/>
  <c r="U36" i="6"/>
  <c r="Z36" i="6"/>
  <c r="O37" i="6"/>
  <c r="V37" i="6" s="1"/>
  <c r="R37" i="6"/>
  <c r="W37" i="6" s="1"/>
  <c r="S37" i="6"/>
  <c r="T37" i="6"/>
  <c r="U37" i="6"/>
  <c r="Z37" i="6"/>
  <c r="O38" i="6"/>
  <c r="V38" i="6" s="1"/>
  <c r="R38" i="6"/>
  <c r="W38" i="6" s="1"/>
  <c r="S38" i="6"/>
  <c r="T38" i="6"/>
  <c r="U38" i="6"/>
  <c r="Z38" i="6"/>
  <c r="O19" i="6"/>
  <c r="V19" i="6" s="1"/>
  <c r="R19" i="6"/>
  <c r="W19" i="6" s="1"/>
  <c r="T19" i="6"/>
  <c r="U19" i="6"/>
  <c r="Z19" i="6"/>
  <c r="J35" i="21"/>
  <c r="M35" i="21" s="1"/>
  <c r="J31" i="21"/>
  <c r="M31" i="21" s="1"/>
  <c r="J29" i="21"/>
  <c r="J27" i="21"/>
  <c r="M27" i="21" s="1"/>
  <c r="J25" i="21"/>
  <c r="M25" i="21"/>
  <c r="J23" i="21"/>
  <c r="M23" i="21" s="1"/>
  <c r="H9" i="21"/>
  <c r="I9" i="21"/>
  <c r="J9" i="21"/>
  <c r="M9" i="21" s="1"/>
  <c r="H13" i="21"/>
  <c r="I13" i="21" s="1"/>
  <c r="H28" i="21"/>
  <c r="I28" i="21" s="1"/>
  <c r="H30" i="21"/>
  <c r="I30" i="21"/>
  <c r="K30" i="21"/>
  <c r="M30" i="21"/>
  <c r="H21" i="21"/>
  <c r="I21" i="21" s="1"/>
  <c r="K21" i="21"/>
  <c r="M21" i="21"/>
  <c r="H32" i="21"/>
  <c r="I32" i="21"/>
  <c r="K32" i="21"/>
  <c r="M32" i="21"/>
  <c r="H27" i="21"/>
  <c r="I27" i="21"/>
  <c r="H24" i="21"/>
  <c r="I24" i="21"/>
  <c r="K24" i="21"/>
  <c r="M24" i="21"/>
  <c r="H10" i="21"/>
  <c r="I10" i="21"/>
  <c r="J13" i="21"/>
  <c r="M13" i="21" s="1"/>
  <c r="K10" i="21"/>
  <c r="H34" i="21"/>
  <c r="I34" i="21"/>
  <c r="K34" i="21"/>
  <c r="M34" i="21" s="1"/>
  <c r="H29" i="21"/>
  <c r="I29" i="21"/>
  <c r="J28" i="21"/>
  <c r="M28" i="21" s="1"/>
  <c r="H26" i="21"/>
  <c r="I26" i="21"/>
  <c r="K26" i="21"/>
  <c r="M26" i="21" s="1"/>
  <c r="D42" i="15"/>
  <c r="C49" i="20"/>
  <c r="D74" i="15"/>
  <c r="AD28" i="6" l="1"/>
  <c r="D3" i="6"/>
  <c r="Y37" i="6" s="1"/>
  <c r="AD31" i="6"/>
  <c r="AD35" i="6"/>
  <c r="AD34" i="6"/>
  <c r="AD33" i="6"/>
  <c r="AD37" i="6"/>
  <c r="AD19" i="6"/>
  <c r="AD24" i="6"/>
  <c r="E76" i="15"/>
  <c r="C83" i="15"/>
  <c r="E83" i="15" s="1"/>
  <c r="M19" i="21"/>
  <c r="H17" i="21"/>
  <c r="I17" i="21" s="1"/>
  <c r="H20" i="21"/>
  <c r="I20" i="21" s="1"/>
  <c r="K20" i="21"/>
  <c r="M20" i="21" s="1"/>
  <c r="C66" i="15"/>
  <c r="C55" i="15"/>
  <c r="D61" i="15"/>
  <c r="K22" i="21"/>
  <c r="M22" i="21" s="1"/>
  <c r="C54" i="15"/>
  <c r="C57" i="15" s="1"/>
  <c r="J33" i="21"/>
  <c r="M33" i="21" s="1"/>
  <c r="K19" i="21"/>
  <c r="K16" i="21"/>
  <c r="M16" i="21" s="1"/>
  <c r="H33" i="21"/>
  <c r="I33" i="21" s="1"/>
  <c r="H31" i="21"/>
  <c r="I31" i="21" s="1"/>
  <c r="D63" i="15"/>
  <c r="H35" i="21"/>
  <c r="I35" i="21" s="1"/>
  <c r="K17" i="21"/>
  <c r="M17" i="21" s="1"/>
  <c r="H22" i="21"/>
  <c r="I22" i="21" s="1"/>
  <c r="H11" i="21"/>
  <c r="I11" i="21" s="1"/>
  <c r="Q34" i="6"/>
  <c r="D70" i="15"/>
  <c r="AD38" i="6"/>
  <c r="C47" i="20"/>
  <c r="C67" i="15"/>
  <c r="D71" i="15"/>
  <c r="S19" i="6"/>
  <c r="AD30" i="6"/>
  <c r="AD27" i="6"/>
  <c r="AD32" i="6"/>
  <c r="AD36" i="6"/>
  <c r="AD21" i="6"/>
  <c r="I35" i="6"/>
  <c r="AD23" i="6"/>
  <c r="AD25" i="6"/>
  <c r="AD29" i="6"/>
  <c r="AD20" i="6"/>
  <c r="AD26" i="6"/>
  <c r="G20" i="6"/>
  <c r="H36" i="6"/>
  <c r="L26" i="6"/>
  <c r="I20" i="6"/>
  <c r="K21" i="6"/>
  <c r="AC28" i="6"/>
  <c r="M32" i="6"/>
  <c r="Q33" i="6"/>
  <c r="G31" i="6"/>
  <c r="Q24" i="6"/>
  <c r="K26" i="6"/>
  <c r="H29" i="6"/>
  <c r="AB36" i="6"/>
  <c r="V30" i="6"/>
  <c r="V26" i="6"/>
  <c r="V31" i="6"/>
  <c r="V27" i="6"/>
  <c r="D60" i="15"/>
  <c r="C65" i="15"/>
  <c r="C36" i="15"/>
  <c r="C78" i="15"/>
  <c r="E78" i="15" s="1"/>
  <c r="C25" i="15"/>
  <c r="D21" i="15"/>
  <c r="D23" i="15" s="1"/>
  <c r="C31" i="15"/>
  <c r="C34" i="15"/>
  <c r="C26" i="15"/>
  <c r="D49" i="15"/>
  <c r="H25" i="6" l="1"/>
  <c r="M25" i="6"/>
  <c r="M34" i="6"/>
  <c r="X38" i="6"/>
  <c r="X21" i="6"/>
  <c r="I25" i="6"/>
  <c r="L36" i="6"/>
  <c r="I30" i="6"/>
  <c r="P26" i="6"/>
  <c r="L38" i="6"/>
  <c r="X34" i="6"/>
  <c r="M24" i="6"/>
  <c r="K27" i="6"/>
  <c r="K33" i="6"/>
  <c r="M31" i="6"/>
  <c r="AB24" i="6"/>
  <c r="AC37" i="6"/>
  <c r="K29" i="6"/>
  <c r="P29" i="6"/>
  <c r="P34" i="6"/>
  <c r="P22" i="6"/>
  <c r="G28" i="6"/>
  <c r="X33" i="6"/>
  <c r="K28" i="6"/>
  <c r="X30" i="6"/>
  <c r="Y21" i="6"/>
  <c r="H27" i="6"/>
  <c r="M30" i="6"/>
  <c r="I21" i="6"/>
  <c r="L19" i="6"/>
  <c r="G21" i="6"/>
  <c r="AC23" i="6"/>
  <c r="H28" i="6"/>
  <c r="X22" i="6"/>
  <c r="Y27" i="6"/>
  <c r="AB23" i="6"/>
  <c r="Y32" i="6"/>
  <c r="L22" i="6"/>
  <c r="I33" i="6"/>
  <c r="I19" i="6"/>
  <c r="H20" i="6"/>
  <c r="J20" i="6" s="1"/>
  <c r="Q21" i="6"/>
  <c r="P28" i="6"/>
  <c r="X27" i="6"/>
  <c r="G33" i="6"/>
  <c r="P24" i="6"/>
  <c r="P36" i="6"/>
  <c r="Y19" i="6"/>
  <c r="H30" i="6"/>
  <c r="Q22" i="6"/>
  <c r="G27" i="6"/>
  <c r="L27" i="6"/>
  <c r="AB20" i="6"/>
  <c r="Y24" i="6"/>
  <c r="X28" i="6"/>
  <c r="H22" i="6"/>
  <c r="X32" i="6"/>
  <c r="AC34" i="6"/>
  <c r="Y26" i="6"/>
  <c r="G34" i="6"/>
  <c r="P32" i="6"/>
  <c r="I38" i="6"/>
  <c r="Y20" i="6"/>
  <c r="L35" i="6"/>
  <c r="AC36" i="6"/>
  <c r="Q32" i="6"/>
  <c r="X37" i="6"/>
  <c r="M29" i="6"/>
  <c r="Y25" i="6"/>
  <c r="G38" i="6"/>
  <c r="M19" i="6"/>
  <c r="L30" i="6"/>
  <c r="G29" i="6"/>
  <c r="Q30" i="6"/>
  <c r="X19" i="6"/>
  <c r="P19" i="6"/>
  <c r="L24" i="6"/>
  <c r="X31" i="6"/>
  <c r="Q26" i="6"/>
  <c r="Q28" i="6"/>
  <c r="AC30" i="6"/>
  <c r="AC19" i="6"/>
  <c r="M21" i="6"/>
  <c r="H38" i="6"/>
  <c r="AC25" i="6"/>
  <c r="AB31" i="6"/>
  <c r="H32" i="6"/>
  <c r="AC35" i="6"/>
  <c r="M22" i="6"/>
  <c r="L32" i="6"/>
  <c r="K37" i="6"/>
  <c r="X20" i="6"/>
  <c r="G19" i="6"/>
  <c r="AC20" i="6"/>
  <c r="M23" i="6"/>
  <c r="AB22" i="6"/>
  <c r="K35" i="6"/>
  <c r="AB30" i="6"/>
  <c r="L21" i="6"/>
  <c r="N21" i="6" s="1"/>
  <c r="Y33" i="6"/>
  <c r="G24" i="6"/>
  <c r="K38" i="6"/>
  <c r="I28" i="6"/>
  <c r="M33" i="6"/>
  <c r="P20" i="6"/>
  <c r="Q35" i="6"/>
  <c r="H21" i="6"/>
  <c r="AB37" i="6"/>
  <c r="AB28" i="6"/>
  <c r="Q36" i="6"/>
  <c r="G23" i="6"/>
  <c r="X24" i="6"/>
  <c r="K22" i="6"/>
  <c r="Y31" i="6"/>
  <c r="AC38" i="6"/>
  <c r="AB35" i="6"/>
  <c r="Y34" i="6"/>
  <c r="AC21" i="6"/>
  <c r="AC32" i="6"/>
  <c r="M27" i="6"/>
  <c r="H35" i="6"/>
  <c r="G25" i="6"/>
  <c r="H37" i="6"/>
  <c r="AB19" i="6"/>
  <c r="X25" i="6"/>
  <c r="K36" i="6"/>
  <c r="AC26" i="6"/>
  <c r="AC31" i="6"/>
  <c r="K23" i="6"/>
  <c r="AB26" i="6"/>
  <c r="AB29" i="6"/>
  <c r="Y35" i="6"/>
  <c r="M20" i="6"/>
  <c r="P21" i="6"/>
  <c r="G30" i="6"/>
  <c r="G35" i="6"/>
  <c r="G32" i="6"/>
  <c r="Q27" i="6"/>
  <c r="I23" i="6"/>
  <c r="Y22" i="6"/>
  <c r="K19" i="6"/>
  <c r="Y29" i="6"/>
  <c r="Y36" i="6"/>
  <c r="L29" i="6"/>
  <c r="N29" i="6" s="1"/>
  <c r="K31" i="6"/>
  <c r="AB33" i="6"/>
  <c r="I31" i="6"/>
  <c r="AB34" i="6"/>
  <c r="I36" i="6"/>
  <c r="AC33" i="6"/>
  <c r="L33" i="6"/>
  <c r="AB38" i="6"/>
  <c r="L23" i="6"/>
  <c r="P27" i="6"/>
  <c r="L25" i="6"/>
  <c r="H31" i="6"/>
  <c r="I37" i="6"/>
  <c r="L20" i="6"/>
  <c r="M37" i="6"/>
  <c r="K20" i="6"/>
  <c r="AC27" i="6"/>
  <c r="P31" i="6"/>
  <c r="M28" i="6"/>
  <c r="P35" i="6"/>
  <c r="I34" i="6"/>
  <c r="M36" i="6"/>
  <c r="G22" i="6"/>
  <c r="I29" i="6"/>
  <c r="X35" i="6"/>
  <c r="K34" i="6"/>
  <c r="K30" i="6"/>
  <c r="X26" i="6"/>
  <c r="X29" i="6"/>
  <c r="Q38" i="6"/>
  <c r="AC24" i="6"/>
  <c r="I24" i="6"/>
  <c r="Q31" i="6"/>
  <c r="P33" i="6"/>
  <c r="G36" i="6"/>
  <c r="P23" i="6"/>
  <c r="L37" i="6"/>
  <c r="H33" i="6"/>
  <c r="H26" i="6"/>
  <c r="Q20" i="6"/>
  <c r="I26" i="6"/>
  <c r="M35" i="6"/>
  <c r="AB21" i="6"/>
  <c r="AC29" i="6"/>
  <c r="H19" i="6"/>
  <c r="L28" i="6"/>
  <c r="AB25" i="6"/>
  <c r="M38" i="6"/>
  <c r="X36" i="6"/>
  <c r="X23" i="6"/>
  <c r="I27" i="6"/>
  <c r="J27" i="6" s="1"/>
  <c r="M26" i="6"/>
  <c r="N26" i="6" s="1"/>
  <c r="L34" i="6"/>
  <c r="AB32" i="6"/>
  <c r="Q25" i="6"/>
  <c r="Q19" i="6"/>
  <c r="AB27" i="6"/>
  <c r="K24" i="6"/>
  <c r="P30" i="6"/>
  <c r="G26" i="6"/>
  <c r="I32" i="6"/>
  <c r="Y30" i="6"/>
  <c r="AC22" i="6"/>
  <c r="H24" i="6"/>
  <c r="P37" i="6"/>
  <c r="L31" i="6"/>
  <c r="Y23" i="6"/>
  <c r="H23" i="6"/>
  <c r="Q23" i="6"/>
  <c r="Q37" i="6"/>
  <c r="I22" i="6"/>
  <c r="K25" i="6"/>
  <c r="G37" i="6"/>
  <c r="H34" i="6"/>
  <c r="P38" i="6"/>
  <c r="P25" i="6"/>
  <c r="Q29" i="6"/>
  <c r="Y38" i="6"/>
  <c r="Y28" i="6"/>
  <c r="K32" i="6"/>
  <c r="C56" i="15"/>
  <c r="C58" i="15" s="1"/>
  <c r="AA21" i="6" l="1"/>
  <c r="J25" i="6"/>
  <c r="AA34" i="6"/>
  <c r="N27" i="6"/>
  <c r="N31" i="6"/>
  <c r="N24" i="6"/>
  <c r="N34" i="6"/>
  <c r="AA31" i="6"/>
  <c r="N22" i="6"/>
  <c r="AA32" i="6"/>
  <c r="J24" i="6"/>
  <c r="J29" i="6"/>
  <c r="J35" i="6"/>
  <c r="AA38" i="6"/>
  <c r="AA30" i="6"/>
  <c r="J36" i="6"/>
  <c r="N37" i="6"/>
  <c r="J30" i="6"/>
  <c r="J21" i="6"/>
  <c r="AE21" i="6" s="1"/>
  <c r="J28" i="6"/>
  <c r="N23" i="6"/>
  <c r="J32" i="6"/>
  <c r="N19" i="6"/>
  <c r="AA37" i="6"/>
  <c r="J33" i="6"/>
  <c r="N32" i="6"/>
  <c r="AA19" i="6"/>
  <c r="AE19" i="6" s="1"/>
  <c r="N38" i="6"/>
  <c r="AA20" i="6"/>
  <c r="AA23" i="6"/>
  <c r="AA26" i="6"/>
  <c r="AA22" i="6"/>
  <c r="AA24" i="6"/>
  <c r="N33" i="6"/>
  <c r="J38" i="6"/>
  <c r="J19" i="6"/>
  <c r="AA27" i="6"/>
  <c r="AA29" i="6"/>
  <c r="AE29" i="6" s="1"/>
  <c r="N56" i="6" s="1"/>
  <c r="N30" i="6"/>
  <c r="AA28" i="6"/>
  <c r="AA33" i="6"/>
  <c r="J34" i="6"/>
  <c r="N35" i="6"/>
  <c r="AA25" i="6"/>
  <c r="J26" i="6"/>
  <c r="J22" i="6"/>
  <c r="N25" i="6"/>
  <c r="J31" i="6"/>
  <c r="J23" i="6"/>
  <c r="N28" i="6"/>
  <c r="N20" i="6"/>
  <c r="N36" i="6"/>
  <c r="AA36" i="6"/>
  <c r="AA35" i="6"/>
  <c r="J37" i="6"/>
  <c r="AE32" i="6" l="1"/>
  <c r="N59" i="6" s="1"/>
  <c r="AE27" i="6"/>
  <c r="J54" i="6" s="1"/>
  <c r="AE38" i="6"/>
  <c r="N65" i="6" s="1"/>
  <c r="AE31" i="6"/>
  <c r="J58" i="6" s="1"/>
  <c r="AE25" i="6"/>
  <c r="AA52" i="6" s="1"/>
  <c r="AE34" i="6"/>
  <c r="T61" i="6" s="1"/>
  <c r="AE30" i="6"/>
  <c r="W57" i="6" s="1"/>
  <c r="AE26" i="6"/>
  <c r="J53" i="6" s="1"/>
  <c r="AE24" i="6"/>
  <c r="U51" i="6" s="1"/>
  <c r="AE23" i="6"/>
  <c r="AA50" i="6" s="1"/>
  <c r="AE33" i="6"/>
  <c r="S60" i="6" s="1"/>
  <c r="AE37" i="6"/>
  <c r="AA64" i="6" s="1"/>
  <c r="AE20" i="6"/>
  <c r="AA47" i="6" s="1"/>
  <c r="AE22" i="6"/>
  <c r="AA49" i="6" s="1"/>
  <c r="AE28" i="6"/>
  <c r="N55" i="6" s="1"/>
  <c r="AE36" i="6"/>
  <c r="AA63" i="6" s="1"/>
  <c r="AE35" i="6"/>
  <c r="AA62" i="6" s="1"/>
  <c r="N54" i="6"/>
  <c r="J59" i="6"/>
  <c r="AA59" i="6"/>
  <c r="N52" i="6"/>
  <c r="O48" i="6"/>
  <c r="AE48" i="6"/>
  <c r="AG48" i="6" s="1"/>
  <c r="S48" i="6"/>
  <c r="Y48" i="6"/>
  <c r="U48" i="6"/>
  <c r="V48" i="6"/>
  <c r="AD48" i="6"/>
  <c r="T48" i="6"/>
  <c r="L48" i="6"/>
  <c r="Z48" i="6"/>
  <c r="R48" i="6"/>
  <c r="Q48" i="6"/>
  <c r="W48" i="6"/>
  <c r="X48" i="6"/>
  <c r="G48" i="6"/>
  <c r="I48" i="6"/>
  <c r="K48" i="6"/>
  <c r="AC48" i="6"/>
  <c r="P48" i="6"/>
  <c r="H48" i="6"/>
  <c r="AB48" i="6"/>
  <c r="M48" i="6"/>
  <c r="S57" i="6"/>
  <c r="I57" i="6"/>
  <c r="AA57" i="6"/>
  <c r="R61" i="6"/>
  <c r="AD61" i="6"/>
  <c r="AE61" i="6"/>
  <c r="AG61" i="6" s="1"/>
  <c r="M61" i="6"/>
  <c r="X61" i="6"/>
  <c r="T56" i="6"/>
  <c r="R56" i="6"/>
  <c r="W56" i="6"/>
  <c r="Q56" i="6"/>
  <c r="Z56" i="6"/>
  <c r="I56" i="6"/>
  <c r="V56" i="6"/>
  <c r="U56" i="6"/>
  <c r="AD56" i="6"/>
  <c r="S56" i="6"/>
  <c r="AE56" i="6"/>
  <c r="AG56" i="6" s="1"/>
  <c r="O56" i="6"/>
  <c r="G56" i="6"/>
  <c r="P56" i="6"/>
  <c r="L56" i="6"/>
  <c r="X56" i="6"/>
  <c r="AB56" i="6"/>
  <c r="Y56" i="6"/>
  <c r="H56" i="6"/>
  <c r="K56" i="6"/>
  <c r="M56" i="6"/>
  <c r="AC56" i="6"/>
  <c r="J48" i="6"/>
  <c r="AA48" i="6"/>
  <c r="S46" i="6"/>
  <c r="O46" i="6"/>
  <c r="Z46" i="6"/>
  <c r="U46" i="6"/>
  <c r="AE46" i="6"/>
  <c r="AG46" i="6" s="1"/>
  <c r="W46" i="6"/>
  <c r="R46" i="6"/>
  <c r="G46" i="6"/>
  <c r="AD46" i="6"/>
  <c r="V46" i="6"/>
  <c r="T46" i="6"/>
  <c r="I46" i="6"/>
  <c r="H46" i="6"/>
  <c r="Q46" i="6"/>
  <c r="X46" i="6"/>
  <c r="AB46" i="6"/>
  <c r="K46" i="6"/>
  <c r="Y46" i="6"/>
  <c r="AC46" i="6"/>
  <c r="P46" i="6"/>
  <c r="M46" i="6"/>
  <c r="L46" i="6"/>
  <c r="J46" i="6"/>
  <c r="W60" i="6"/>
  <c r="K60" i="6"/>
  <c r="AB60" i="6"/>
  <c r="P53" i="6"/>
  <c r="N48" i="6"/>
  <c r="AD52" i="6"/>
  <c r="Z52" i="6"/>
  <c r="O52" i="6"/>
  <c r="R52" i="6"/>
  <c r="T52" i="6"/>
  <c r="S52" i="6"/>
  <c r="Y52" i="6"/>
  <c r="H52" i="6"/>
  <c r="AB52" i="6"/>
  <c r="Q52" i="6"/>
  <c r="X52" i="6"/>
  <c r="L52" i="6"/>
  <c r="J56" i="6"/>
  <c r="R59" i="6"/>
  <c r="O59" i="6"/>
  <c r="Z59" i="6"/>
  <c r="U59" i="6"/>
  <c r="L59" i="6"/>
  <c r="AE59" i="6"/>
  <c r="AG59" i="6" s="1"/>
  <c r="S59" i="6"/>
  <c r="AD59" i="6"/>
  <c r="K59" i="6"/>
  <c r="T59" i="6"/>
  <c r="V59" i="6"/>
  <c r="W59" i="6"/>
  <c r="X59" i="6"/>
  <c r="Y59" i="6"/>
  <c r="P59" i="6"/>
  <c r="G59" i="6"/>
  <c r="Q59" i="6"/>
  <c r="H59" i="6"/>
  <c r="AB59" i="6"/>
  <c r="M59" i="6"/>
  <c r="AC59" i="6"/>
  <c r="I59" i="6"/>
  <c r="AA46" i="6"/>
  <c r="AD65" i="6"/>
  <c r="AE65" i="6"/>
  <c r="AG65" i="6" s="1"/>
  <c r="Z65" i="6"/>
  <c r="I65" i="6"/>
  <c r="G65" i="6"/>
  <c r="AD51" i="6"/>
  <c r="S51" i="6"/>
  <c r="O51" i="6"/>
  <c r="AE51" i="6"/>
  <c r="AG51" i="6" s="1"/>
  <c r="G51" i="6"/>
  <c r="Y51" i="6"/>
  <c r="H51" i="6"/>
  <c r="J51" i="6"/>
  <c r="AB51" i="6"/>
  <c r="P51" i="6"/>
  <c r="K51" i="6"/>
  <c r="W54" i="6"/>
  <c r="R54" i="6"/>
  <c r="Z54" i="6"/>
  <c r="AD54" i="6"/>
  <c r="AE54" i="6"/>
  <c r="AG54" i="6" s="1"/>
  <c r="S54" i="6"/>
  <c r="O54" i="6"/>
  <c r="T54" i="6"/>
  <c r="U54" i="6"/>
  <c r="H54" i="6"/>
  <c r="X54" i="6"/>
  <c r="AC54" i="6"/>
  <c r="Q54" i="6"/>
  <c r="AA54" i="6"/>
  <c r="G54" i="6"/>
  <c r="K54" i="6"/>
  <c r="AB54" i="6"/>
  <c r="V54" i="6"/>
  <c r="L54" i="6"/>
  <c r="Y54" i="6"/>
  <c r="I54" i="6"/>
  <c r="P54" i="6"/>
  <c r="M54" i="6"/>
  <c r="T49" i="6"/>
  <c r="Y49" i="6"/>
  <c r="U50" i="6"/>
  <c r="L50" i="6"/>
  <c r="AA56" i="6"/>
  <c r="S55" i="6"/>
  <c r="N51" i="6"/>
  <c r="N46" i="6"/>
  <c r="AB65" i="6" l="1"/>
  <c r="U65" i="6"/>
  <c r="AA60" i="6"/>
  <c r="J60" i="6"/>
  <c r="R60" i="6"/>
  <c r="AB57" i="6"/>
  <c r="H58" i="6"/>
  <c r="P55" i="6"/>
  <c r="P65" i="6"/>
  <c r="S65" i="6"/>
  <c r="T60" i="6"/>
  <c r="J57" i="6"/>
  <c r="Z57" i="6"/>
  <c r="AC53" i="6"/>
  <c r="M65" i="6"/>
  <c r="L65" i="6"/>
  <c r="W65" i="6"/>
  <c r="T65" i="6"/>
  <c r="AC58" i="6"/>
  <c r="O58" i="6"/>
  <c r="V53" i="6"/>
  <c r="AE53" i="6"/>
  <c r="AG53" i="6" s="1"/>
  <c r="L60" i="6"/>
  <c r="AD60" i="6"/>
  <c r="U60" i="6"/>
  <c r="G57" i="6"/>
  <c r="AC57" i="6"/>
  <c r="R57" i="6"/>
  <c r="U58" i="6"/>
  <c r="AB55" i="6"/>
  <c r="X65" i="6"/>
  <c r="H65" i="6"/>
  <c r="Y65" i="6"/>
  <c r="V65" i="6"/>
  <c r="V58" i="6"/>
  <c r="N53" i="6"/>
  <c r="L53" i="6"/>
  <c r="U53" i="6"/>
  <c r="P60" i="6"/>
  <c r="G60" i="6"/>
  <c r="Z60" i="6"/>
  <c r="J65" i="6"/>
  <c r="M57" i="6"/>
  <c r="L57" i="6"/>
  <c r="T57" i="6"/>
  <c r="N58" i="6"/>
  <c r="I58" i="6"/>
  <c r="AA58" i="6"/>
  <c r="R58" i="6"/>
  <c r="M53" i="6"/>
  <c r="K53" i="6"/>
  <c r="R53" i="6"/>
  <c r="AA65" i="6"/>
  <c r="AC65" i="6"/>
  <c r="Q65" i="6"/>
  <c r="R65" i="6"/>
  <c r="O65" i="6"/>
  <c r="K65" i="6"/>
  <c r="AB58" i="6"/>
  <c r="L58" i="6"/>
  <c r="G58" i="6"/>
  <c r="M58" i="6"/>
  <c r="Z58" i="6"/>
  <c r="AD58" i="6"/>
  <c r="N60" i="6"/>
  <c r="X53" i="6"/>
  <c r="Q53" i="6"/>
  <c r="G53" i="6"/>
  <c r="W53" i="6"/>
  <c r="T53" i="6"/>
  <c r="S53" i="6"/>
  <c r="H60" i="6"/>
  <c r="AC60" i="6"/>
  <c r="M60" i="6"/>
  <c r="Y60" i="6"/>
  <c r="AE60" i="6"/>
  <c r="AG60" i="6" s="1"/>
  <c r="V57" i="6"/>
  <c r="K57" i="6"/>
  <c r="Y57" i="6"/>
  <c r="X57" i="6"/>
  <c r="AD57" i="6"/>
  <c r="AE57" i="6"/>
  <c r="AG57" i="6" s="1"/>
  <c r="J52" i="6"/>
  <c r="Y58" i="6"/>
  <c r="P58" i="6"/>
  <c r="AE58" i="6"/>
  <c r="AG58" i="6" s="1"/>
  <c r="Y53" i="6"/>
  <c r="I53" i="6"/>
  <c r="Z53" i="6"/>
  <c r="K58" i="6"/>
  <c r="Q58" i="6"/>
  <c r="X58" i="6"/>
  <c r="T58" i="6"/>
  <c r="W58" i="6"/>
  <c r="S58" i="6"/>
  <c r="H53" i="6"/>
  <c r="AA53" i="6"/>
  <c r="AB53" i="6"/>
  <c r="O53" i="6"/>
  <c r="AD53" i="6"/>
  <c r="X60" i="6"/>
  <c r="I60" i="6"/>
  <c r="Q60" i="6"/>
  <c r="O60" i="6"/>
  <c r="V60" i="6"/>
  <c r="N57" i="6"/>
  <c r="H57" i="6"/>
  <c r="Q57" i="6"/>
  <c r="P57" i="6"/>
  <c r="O57" i="6"/>
  <c r="U57" i="6"/>
  <c r="U49" i="6"/>
  <c r="AB61" i="6"/>
  <c r="H61" i="6"/>
  <c r="O61" i="6"/>
  <c r="AA61" i="6"/>
  <c r="AB50" i="6"/>
  <c r="N49" i="6"/>
  <c r="G49" i="6"/>
  <c r="I51" i="6"/>
  <c r="M51" i="6"/>
  <c r="AC51" i="6"/>
  <c r="Z51" i="6"/>
  <c r="T51" i="6"/>
  <c r="V51" i="6"/>
  <c r="M52" i="6"/>
  <c r="AC52" i="6"/>
  <c r="K52" i="6"/>
  <c r="U52" i="6"/>
  <c r="AE52" i="6"/>
  <c r="AG52" i="6" s="1"/>
  <c r="J61" i="6"/>
  <c r="N61" i="6"/>
  <c r="AC61" i="6"/>
  <c r="Y61" i="6"/>
  <c r="U61" i="6"/>
  <c r="W61" i="6"/>
  <c r="I61" i="6"/>
  <c r="Z61" i="6"/>
  <c r="G50" i="6"/>
  <c r="AB49" i="6"/>
  <c r="P61" i="6"/>
  <c r="K61" i="6"/>
  <c r="S61" i="6"/>
  <c r="AA51" i="6"/>
  <c r="O50" i="6"/>
  <c r="O49" i="6"/>
  <c r="X51" i="6"/>
  <c r="L51" i="6"/>
  <c r="Q51" i="6"/>
  <c r="W51" i="6"/>
  <c r="R51" i="6"/>
  <c r="G52" i="6"/>
  <c r="I52" i="6"/>
  <c r="W52" i="6"/>
  <c r="P52" i="6"/>
  <c r="V52" i="6"/>
  <c r="G61" i="6"/>
  <c r="L61" i="6"/>
  <c r="V61" i="6"/>
  <c r="Q61" i="6"/>
  <c r="J50" i="6"/>
  <c r="K50" i="6"/>
  <c r="I50" i="6"/>
  <c r="V50" i="6"/>
  <c r="Y50" i="6"/>
  <c r="AE50" i="6"/>
  <c r="AG50" i="6" s="1"/>
  <c r="R50" i="6"/>
  <c r="X49" i="6"/>
  <c r="H49" i="6"/>
  <c r="M49" i="6"/>
  <c r="W49" i="6"/>
  <c r="AD49" i="6"/>
  <c r="N50" i="6"/>
  <c r="P50" i="6"/>
  <c r="X50" i="6"/>
  <c r="H50" i="6"/>
  <c r="W50" i="6"/>
  <c r="T50" i="6"/>
  <c r="AD50" i="6"/>
  <c r="K49" i="6"/>
  <c r="AC49" i="6"/>
  <c r="L49" i="6"/>
  <c r="AE49" i="6"/>
  <c r="AG49" i="6" s="1"/>
  <c r="S49" i="6"/>
  <c r="V49" i="6"/>
  <c r="M50" i="6"/>
  <c r="AC50" i="6"/>
  <c r="Q50" i="6"/>
  <c r="S50" i="6"/>
  <c r="Z50" i="6"/>
  <c r="Q49" i="6"/>
  <c r="P49" i="6"/>
  <c r="J49" i="6"/>
  <c r="I49" i="6"/>
  <c r="R49" i="6"/>
  <c r="Z49" i="6"/>
  <c r="P64" i="6"/>
  <c r="I64" i="6"/>
  <c r="K64" i="6"/>
  <c r="O64" i="6"/>
  <c r="AC64" i="6"/>
  <c r="Z64" i="6"/>
  <c r="R64" i="6"/>
  <c r="J64" i="6"/>
  <c r="T64" i="6"/>
  <c r="U47" i="6"/>
  <c r="Y47" i="6"/>
  <c r="N64" i="6"/>
  <c r="V64" i="6"/>
  <c r="Y64" i="6"/>
  <c r="P47" i="6"/>
  <c r="AD47" i="6"/>
  <c r="K47" i="6"/>
  <c r="H47" i="6"/>
  <c r="Q62" i="6"/>
  <c r="I47" i="6"/>
  <c r="O47" i="6"/>
  <c r="X64" i="6"/>
  <c r="L64" i="6"/>
  <c r="G64" i="6"/>
  <c r="M64" i="6"/>
  <c r="S64" i="6"/>
  <c r="AE64" i="6"/>
  <c r="AG64" i="6" s="1"/>
  <c r="R63" i="6"/>
  <c r="M47" i="6"/>
  <c r="G47" i="6"/>
  <c r="AC47" i="6"/>
  <c r="S47" i="6"/>
  <c r="Z47" i="6"/>
  <c r="J62" i="6"/>
  <c r="AD62" i="6"/>
  <c r="AB47" i="6"/>
  <c r="X47" i="6"/>
  <c r="R47" i="6"/>
  <c r="T47" i="6"/>
  <c r="S62" i="6"/>
  <c r="H64" i="6"/>
  <c r="AB64" i="6"/>
  <c r="Q64" i="6"/>
  <c r="W64" i="6"/>
  <c r="AD64" i="6"/>
  <c r="U64" i="6"/>
  <c r="Q47" i="6"/>
  <c r="W47" i="6"/>
  <c r="L47" i="6"/>
  <c r="V47" i="6"/>
  <c r="AE47" i="6"/>
  <c r="AG47" i="6" s="1"/>
  <c r="L62" i="6"/>
  <c r="N47" i="6"/>
  <c r="AD55" i="6"/>
  <c r="J47" i="6"/>
  <c r="L55" i="6"/>
  <c r="T55" i="6"/>
  <c r="K55" i="6"/>
  <c r="Q63" i="6"/>
  <c r="G63" i="6"/>
  <c r="Q55" i="6"/>
  <c r="W55" i="6"/>
  <c r="AC55" i="6"/>
  <c r="M55" i="6"/>
  <c r="AE55" i="6"/>
  <c r="AG55" i="6" s="1"/>
  <c r="S63" i="6"/>
  <c r="J63" i="6"/>
  <c r="Y63" i="6"/>
  <c r="AE63" i="6"/>
  <c r="AG63" i="6" s="1"/>
  <c r="AA55" i="6"/>
  <c r="H55" i="6"/>
  <c r="I55" i="6"/>
  <c r="V55" i="6"/>
  <c r="O55" i="6"/>
  <c r="U55" i="6"/>
  <c r="H63" i="6"/>
  <c r="L63" i="6"/>
  <c r="P63" i="6"/>
  <c r="AD63" i="6"/>
  <c r="T63" i="6"/>
  <c r="AC63" i="6"/>
  <c r="Z63" i="6"/>
  <c r="J55" i="6"/>
  <c r="X55" i="6"/>
  <c r="G55" i="6"/>
  <c r="Y55" i="6"/>
  <c r="Z55" i="6"/>
  <c r="R55" i="6"/>
  <c r="I63" i="6"/>
  <c r="AB63" i="6"/>
  <c r="U63" i="6"/>
  <c r="M63" i="6"/>
  <c r="AC62" i="6"/>
  <c r="K62" i="6"/>
  <c r="X62" i="6"/>
  <c r="K63" i="6"/>
  <c r="X63" i="6"/>
  <c r="W63" i="6"/>
  <c r="O63" i="6"/>
  <c r="V63" i="6"/>
  <c r="M62" i="6"/>
  <c r="W62" i="6"/>
  <c r="O62" i="6"/>
  <c r="N63" i="6"/>
  <c r="Y62" i="6"/>
  <c r="AB62" i="6"/>
  <c r="Z62" i="6"/>
  <c r="P62" i="6"/>
  <c r="V62" i="6"/>
  <c r="T62" i="6"/>
  <c r="G62" i="6"/>
  <c r="H62" i="6"/>
  <c r="U62" i="6"/>
  <c r="I62" i="6"/>
  <c r="R62" i="6"/>
  <c r="AE62" i="6"/>
  <c r="AG62" i="6" s="1"/>
  <c r="N62" i="6"/>
</calcChain>
</file>

<file path=xl/sharedStrings.xml><?xml version="1.0" encoding="utf-8"?>
<sst xmlns="http://schemas.openxmlformats.org/spreadsheetml/2006/main" count="370" uniqueCount="240">
  <si>
    <t>Max Load Current (A)</t>
  </si>
  <si>
    <t>Int1</t>
  </si>
  <si>
    <t>Int2</t>
  </si>
  <si>
    <t>Int3</t>
  </si>
  <si>
    <t>Int4</t>
  </si>
  <si>
    <t>Int5</t>
  </si>
  <si>
    <t>Int6</t>
  </si>
  <si>
    <t>Int7</t>
  </si>
  <si>
    <t>Int8</t>
  </si>
  <si>
    <t>Int9</t>
  </si>
  <si>
    <t>Int10</t>
  </si>
  <si>
    <t>Int11</t>
  </si>
  <si>
    <t>Int12</t>
  </si>
  <si>
    <t>Int13</t>
  </si>
  <si>
    <t>Int15</t>
  </si>
  <si>
    <t>Int16</t>
  </si>
  <si>
    <t>Int18</t>
  </si>
  <si>
    <t>Int19</t>
  </si>
  <si>
    <t>Int20</t>
  </si>
  <si>
    <t>HSS1</t>
  </si>
  <si>
    <t>HSS2</t>
  </si>
  <si>
    <t>LSS1</t>
  </si>
  <si>
    <t>LSS2</t>
  </si>
  <si>
    <t>LSS3</t>
  </si>
  <si>
    <t>HSS3</t>
  </si>
  <si>
    <t>HSS Bond Wire</t>
  </si>
  <si>
    <t>LSS Bond Wire</t>
  </si>
  <si>
    <t>LSS Met Res</t>
  </si>
  <si>
    <t>HSS Metal Res</t>
  </si>
  <si>
    <t>HSS Resistance</t>
  </si>
  <si>
    <t>LSS Resistance</t>
  </si>
  <si>
    <t>Other Internal Loss</t>
  </si>
  <si>
    <t>Fsw (MHz)</t>
  </si>
  <si>
    <t>Vout (V)</t>
  </si>
  <si>
    <t>Cin ESR (Ohms)</t>
  </si>
  <si>
    <t>Inductor DCR (Ohms)</t>
  </si>
  <si>
    <t>Inductor SRF (MHz)</t>
  </si>
  <si>
    <r>
      <t>Inductor (</t>
    </r>
    <r>
      <rPr>
        <sz val="10"/>
        <rFont val="Arial"/>
        <family val="2"/>
      </rPr>
      <t>μ</t>
    </r>
    <r>
      <rPr>
        <sz val="10"/>
        <rFont val="Arial"/>
      </rPr>
      <t>H)</t>
    </r>
  </si>
  <si>
    <t xml:space="preserve">Default </t>
  </si>
  <si>
    <t>Notes</t>
  </si>
  <si>
    <t>Field</t>
  </si>
  <si>
    <t>Value</t>
  </si>
  <si>
    <t>Duty Ratio</t>
  </si>
  <si>
    <t>FYI</t>
  </si>
  <si>
    <t>Low side switch on time in regulation</t>
  </si>
  <si>
    <t>On-time below minimum (30n)?</t>
  </si>
  <si>
    <t>Used in efficiency and ripple calculations</t>
  </si>
  <si>
    <t>Cout1 ESR (Ohms)</t>
  </si>
  <si>
    <t>Max Output RMS current (A)</t>
  </si>
  <si>
    <t>Triangular current wave (+) peak (A)</t>
  </si>
  <si>
    <t>Triangular current wave (-) peak (A)</t>
  </si>
  <si>
    <t>Comparator Signal Current (A)</t>
  </si>
  <si>
    <t>PE9915x UltraCMOS Buck Converter Design Guide</t>
  </si>
  <si>
    <t>This speadsheet can be used to select the components necessary to use the DC-DC converter.</t>
  </si>
  <si>
    <t>Inductor Current Ripple (p-p)</t>
  </si>
  <si>
    <t>Top On Resistance</t>
  </si>
  <si>
    <t>Top RON (test device, Interpolated)</t>
  </si>
  <si>
    <t>Top Gate Charge (test device, Interpolated)</t>
  </si>
  <si>
    <t>Bottom On Resistance</t>
  </si>
  <si>
    <t>Top Gate Switching Point Voltage (Vsp,top)</t>
  </si>
  <si>
    <t>Top Channel Switch Energy (test device)</t>
  </si>
  <si>
    <t>Bot RON (test device, Interpolated)</t>
  </si>
  <si>
    <t>Compensation Slope Ratio</t>
  </si>
  <si>
    <t>Voltage 
Selection</t>
  </si>
  <si>
    <t>Current
Compensation</t>
  </si>
  <si>
    <t>Regulation Checks</t>
  </si>
  <si>
    <t>Bot Gate Charge (test device, Interpolated)</t>
  </si>
  <si>
    <t>Bot Gate Switching Point Voltage (Vsp,bot)</t>
  </si>
  <si>
    <t>Bot Channel Switch Energy (test device)</t>
  </si>
  <si>
    <t>Power Loss</t>
  </si>
  <si>
    <t>Iload</t>
  </si>
  <si>
    <t>Top On Resistance Loss</t>
  </si>
  <si>
    <t>Bot On Resistance Loss</t>
  </si>
  <si>
    <t>Inductor Resistance Loss</t>
  </si>
  <si>
    <t>Out Bypass Cap Res</t>
  </si>
  <si>
    <t>In Bypass Cap Res</t>
  </si>
  <si>
    <t>Total</t>
  </si>
  <si>
    <t>High side switch on time in regulation</t>
  </si>
  <si>
    <t>HSS On-time (nS)</t>
  </si>
  <si>
    <t>LSS On-time (nS)</t>
  </si>
  <si>
    <t>Fsw</t>
  </si>
  <si>
    <t>HSS Ripple Current</t>
  </si>
  <si>
    <t>Vout</t>
  </si>
  <si>
    <t>Vin</t>
  </si>
  <si>
    <t>On Time</t>
  </si>
  <si>
    <t>Ramp Rate Reqd</t>
  </si>
  <si>
    <t>Min L</t>
  </si>
  <si>
    <t>Replica Ratio</t>
  </si>
  <si>
    <t>Offset current</t>
  </si>
  <si>
    <t>icomp r fraction</t>
  </si>
  <si>
    <t>Max L</t>
  </si>
  <si>
    <t>Ma/M2</t>
  </si>
  <si>
    <t>K1</t>
  </si>
  <si>
    <t>K2</t>
  </si>
  <si>
    <t>K3</t>
  </si>
  <si>
    <t>Vin_max (V)</t>
  </si>
  <si>
    <t>Part #</t>
  </si>
  <si>
    <t>vdevmin</t>
  </si>
  <si>
    <t>vdevmax</t>
  </si>
  <si>
    <t>devIo</t>
  </si>
  <si>
    <t>devfreqmax</t>
  </si>
  <si>
    <t>devfreqmin</t>
  </si>
  <si>
    <t>iclmin</t>
  </si>
  <si>
    <t>tonmin</t>
  </si>
  <si>
    <t>G_iref</t>
  </si>
  <si>
    <t>gmea</t>
  </si>
  <si>
    <t>Vref</t>
  </si>
  <si>
    <t>Rhs</t>
  </si>
  <si>
    <t>Rls</t>
  </si>
  <si>
    <t>Iss</t>
  </si>
  <si>
    <t>G_icomp</t>
  </si>
  <si>
    <t>Cicomp</t>
  </si>
  <si>
    <t>Vrset_max</t>
  </si>
  <si>
    <t>Sscap_int</t>
  </si>
  <si>
    <t>PE99151</t>
  </si>
  <si>
    <t>PE99153</t>
  </si>
  <si>
    <t>PE99155</t>
  </si>
  <si>
    <t>Device</t>
  </si>
  <si>
    <t>∆_IOUT (A)</t>
  </si>
  <si>
    <t>tss (s)</t>
  </si>
  <si>
    <t>Vin_nom (V)</t>
  </si>
  <si>
    <t>Vin_min (V)</t>
  </si>
  <si>
    <t>Vout_ripple (V)</t>
  </si>
  <si>
    <t>Vout_trans (V)</t>
  </si>
  <si>
    <t>R4 (kOhm)</t>
  </si>
  <si>
    <t>R2 (kOhm)</t>
  </si>
  <si>
    <t>∆_IOUT actual (A)</t>
  </si>
  <si>
    <t>Iind_rms (A)</t>
  </si>
  <si>
    <t>Iind_peak (A)</t>
  </si>
  <si>
    <t>Comin1 (F)</t>
  </si>
  <si>
    <t>Comin2 (F)</t>
  </si>
  <si>
    <t>Co (F)</t>
  </si>
  <si>
    <t>Co_actual(F)</t>
  </si>
  <si>
    <t>ESRmax (Ohm)</t>
  </si>
  <si>
    <t>ESR (Ohm)</t>
  </si>
  <si>
    <t>Ico_rms (A)</t>
  </si>
  <si>
    <t>Ici_rms (A)</t>
  </si>
  <si>
    <t>Cin (F) @ VIN</t>
  </si>
  <si>
    <t>VIN_ripple (mV)</t>
  </si>
  <si>
    <t>Power Stage</t>
  </si>
  <si>
    <t>Rcomp (kOhms)</t>
  </si>
  <si>
    <t>C1 (F)</t>
  </si>
  <si>
    <t>R6_actual (kOhm)</t>
  </si>
  <si>
    <t>R7_actual (Ohm)</t>
  </si>
  <si>
    <t>Gm_ps (A/V)</t>
  </si>
  <si>
    <t>fp (kHz)</t>
  </si>
  <si>
    <t>fz (kHz )</t>
  </si>
  <si>
    <t>fco1 (kHz)</t>
  </si>
  <si>
    <t>fco2 (kHz)</t>
  </si>
  <si>
    <t>fco_intended (kHz)</t>
  </si>
  <si>
    <t>fco (kHz)</t>
  </si>
  <si>
    <t>R5 (kOhm)</t>
  </si>
  <si>
    <t>C14 (F)</t>
  </si>
  <si>
    <t>If</t>
  </si>
  <si>
    <t>Devices Supported</t>
  </si>
  <si>
    <t>DCgain</t>
  </si>
  <si>
    <t>fp (kHz )</t>
  </si>
  <si>
    <t>fz(kHz)</t>
  </si>
  <si>
    <t>C29 (F)</t>
  </si>
  <si>
    <t>DC gain of power stage</t>
  </si>
  <si>
    <t>Type II Compensation</t>
  </si>
  <si>
    <t>If using type II compensation</t>
  </si>
  <si>
    <t>C13 (F)</t>
  </si>
  <si>
    <t>If using type III compensation</t>
  </si>
  <si>
    <t>Nom Load Current (A)</t>
  </si>
  <si>
    <t>Power Supply
Requirements</t>
  </si>
  <si>
    <t>Compensation capacitor C29</t>
  </si>
  <si>
    <t>Type III Compensation</t>
  </si>
  <si>
    <t>Transconductance of power stage</t>
  </si>
  <si>
    <t>Current Limit</t>
  </si>
  <si>
    <t>requirement during step load changes between no load to full load.</t>
  </si>
  <si>
    <t>Minimum output capacitance to meet output voltage transient</t>
  </si>
  <si>
    <t>Pole of power stage</t>
  </si>
  <si>
    <t>Zero of power stage</t>
  </si>
  <si>
    <t>Crossover frequency 1</t>
  </si>
  <si>
    <t>Crossover frequency 2</t>
  </si>
  <si>
    <r>
      <t>Desired crossover frequency (</t>
    </r>
    <r>
      <rPr>
        <sz val="10"/>
        <rFont val="Calibri"/>
        <family val="2"/>
      </rPr>
      <t>≤</t>
    </r>
    <r>
      <rPr>
        <sz val="10"/>
        <rFont val="Arial"/>
      </rPr>
      <t xml:space="preserve"> 1/10 of fsw)</t>
    </r>
  </si>
  <si>
    <t>Compensation resistor R5</t>
  </si>
  <si>
    <t>Compensation capacitor C14</t>
  </si>
  <si>
    <t>Compensation capacitor C13 (0F means no connect)</t>
  </si>
  <si>
    <t>Intended crossover frequency (lower of fco1 and fco2)</t>
  </si>
  <si>
    <t>can be higher up to 1/5 of fsw for type III compensation)</t>
  </si>
  <si>
    <r>
      <t xml:space="preserve">Desired crossover frequency (typically </t>
    </r>
    <r>
      <rPr>
        <sz val="10"/>
        <rFont val="Calibri"/>
        <family val="2"/>
      </rPr>
      <t>≤</t>
    </r>
    <r>
      <rPr>
        <sz val="10"/>
        <rFont val="Arial"/>
      </rPr>
      <t xml:space="preserve"> 1/10 of fsw but</t>
    </r>
  </si>
  <si>
    <t>DNI</t>
  </si>
  <si>
    <r>
      <t>L1 (</t>
    </r>
    <r>
      <rPr>
        <sz val="10"/>
        <rFont val="Calibri"/>
        <family val="2"/>
      </rPr>
      <t>µ</t>
    </r>
    <r>
      <rPr>
        <sz val="10"/>
        <rFont val="Arial"/>
      </rPr>
      <t>H)</t>
    </r>
  </si>
  <si>
    <t>Css (F)</t>
  </si>
  <si>
    <t>RSET (Ohm)</t>
  </si>
  <si>
    <t>Rfb1 (kOhms)</t>
  </si>
  <si>
    <t>Rfb2 (kOhms)</t>
  </si>
  <si>
    <t>Rc (kOhm)</t>
  </si>
  <si>
    <t>Cc (F)</t>
  </si>
  <si>
    <t>Need Cc'</t>
  </si>
  <si>
    <r>
      <t>Cc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(F)</t>
    </r>
  </si>
  <si>
    <t>Current limit resistor R7</t>
  </si>
  <si>
    <t>Compensation ramp resistor R6</t>
  </si>
  <si>
    <t>Cout (F)</t>
  </si>
  <si>
    <t>Cout_actual(F)</t>
  </si>
  <si>
    <t>Frequency (MHz)</t>
  </si>
  <si>
    <t>Soft Start</t>
  </si>
  <si>
    <t>Higher values reduces jitter but lowers the maximum average current</t>
  </si>
  <si>
    <t>Feedback resistor R4 (0 ohm suggested for VOUT=1V).</t>
  </si>
  <si>
    <t>Feedback resistor R2 calculated to give the correct Vout.</t>
  </si>
  <si>
    <t>Used in efficiency, compensation and ripple calculations.</t>
  </si>
  <si>
    <t>Used in efficiency and ripple calculations.</t>
  </si>
  <si>
    <t>Peak inductor current.</t>
  </si>
  <si>
    <t>RMS inductor current.</t>
  </si>
  <si>
    <t>Actual peak-to-peak output current ripple.</t>
  </si>
  <si>
    <t>Recommended value given the chosen Fsw.</t>
  </si>
  <si>
    <t>Maximum peak-to-peak output current ripple.</t>
  </si>
  <si>
    <t>Output voltage transient requirement during step load changes.</t>
  </si>
  <si>
    <t>Output ripple voltage requirement.</t>
  </si>
  <si>
    <t>Minimum input voltage.</t>
  </si>
  <si>
    <t>Maximum input voltage.</t>
  </si>
  <si>
    <t>Minimum output capacitance to meet output ripple voltage requiment.</t>
  </si>
  <si>
    <t>Total output capacitance.</t>
  </si>
  <si>
    <t>Actual derated output capacitance for ceramic ouput capacitors.</t>
  </si>
  <si>
    <t>Maximum ESR allowed to meet the output ripple requirement.</t>
  </si>
  <si>
    <t>Actual ESR.</t>
  </si>
  <si>
    <t>RMS ripple current of output capacitors.</t>
  </si>
  <si>
    <t>RMS ripple current of input capacitors.</t>
  </si>
  <si>
    <t>Input voltage ripple.</t>
  </si>
  <si>
    <t>Soft start time.</t>
  </si>
  <si>
    <t>Soft start capacitor C1.</t>
  </si>
  <si>
    <r>
      <t>Inductor (</t>
    </r>
    <r>
      <rPr>
        <sz val="10"/>
        <rFont val="Arial"/>
        <family val="2"/>
      </rPr>
      <t>μ</t>
    </r>
    <r>
      <rPr>
        <sz val="10"/>
        <color theme="1"/>
        <rFont val="Arial"/>
        <family val="2"/>
      </rPr>
      <t>H)</t>
    </r>
  </si>
  <si>
    <t>Recommended Starting Values</t>
  </si>
  <si>
    <r>
      <t xml:space="preserve">PE99155 </t>
    </r>
    <r>
      <rPr>
        <b/>
        <vertAlign val="superscript"/>
        <sz val="10"/>
        <color rgb="FF0000FF"/>
        <rFont val="Arial"/>
        <family val="2"/>
      </rPr>
      <t>1</t>
    </r>
  </si>
  <si>
    <t>Total input capacitance @ VIN.</t>
  </si>
  <si>
    <t>fz</t>
  </si>
  <si>
    <r>
      <t xml:space="preserve"> </t>
    </r>
    <r>
      <rPr>
        <b/>
        <sz val="10"/>
        <rFont val="Calibri"/>
        <family val="2"/>
      </rPr>
      <t>≤</t>
    </r>
  </si>
  <si>
    <t>Fsw/2</t>
  </si>
  <si>
    <t>Cc'</t>
  </si>
  <si>
    <t>Cc' (F)</t>
  </si>
  <si>
    <t>≤</t>
  </si>
  <si>
    <t>Instructions</t>
  </si>
  <si>
    <t>2.  Select Device from Device pull-down menu</t>
  </si>
  <si>
    <t>3.  Insert desired parameter values into uncolored cells.</t>
  </si>
  <si>
    <t>4.  Calculated values are shown in grey cells.</t>
  </si>
  <si>
    <r>
      <t xml:space="preserve">6.  Enter available component values shown as </t>
    </r>
    <r>
      <rPr>
        <sz val="10"/>
        <color rgb="FF0000FF"/>
        <rFont val="Arial"/>
        <family val="2"/>
      </rPr>
      <t>blue</t>
    </r>
    <r>
      <rPr>
        <sz val="10"/>
        <color theme="1"/>
        <rFont val="Arial"/>
        <family val="2"/>
      </rPr>
      <t xml:space="preserve"> text where applicable.</t>
    </r>
  </si>
  <si>
    <t>7.  Final configuration is displayed in summary tab.</t>
  </si>
  <si>
    <t>1.  Select the User Input worksheet tab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</si>
</sst>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1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8"/>
      <name val="Arial"/>
    </font>
    <font>
      <sz val="10"/>
      <color indexed="8"/>
      <name val="Arial"/>
      <family val="2"/>
    </font>
    <font>
      <u/>
      <sz val="10"/>
      <color indexed="12"/>
      <name val="Arial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sz val="10"/>
      <color indexed="12"/>
      <name val="Arial"/>
    </font>
    <font>
      <sz val="10"/>
      <name val="Calibri"/>
      <family val="2"/>
    </font>
    <font>
      <b/>
      <sz val="10"/>
      <name val="Calibri"/>
      <family val="2"/>
    </font>
    <font>
      <vertAlign val="subscript"/>
      <sz val="1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vertAlign val="superscript"/>
      <sz val="10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99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2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Protection="1"/>
    <xf numFmtId="0" fontId="0" fillId="0" borderId="3" xfId="0" applyBorder="1" applyProtection="1"/>
    <xf numFmtId="0" fontId="0" fillId="0" borderId="0" xfId="0" applyBorder="1" applyProtection="1"/>
    <xf numFmtId="0" fontId="0" fillId="0" borderId="1" xfId="0" applyBorder="1" applyProtection="1"/>
    <xf numFmtId="0" fontId="0" fillId="0" borderId="0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Border="1" applyProtection="1"/>
    <xf numFmtId="11" fontId="0" fillId="0" borderId="0" xfId="0" applyNumberFormat="1"/>
    <xf numFmtId="0" fontId="0" fillId="0" borderId="6" xfId="0" applyBorder="1"/>
    <xf numFmtId="0" fontId="0" fillId="0" borderId="6" xfId="0" applyFill="1" applyBorder="1"/>
    <xf numFmtId="0" fontId="0" fillId="0" borderId="0" xfId="0" applyNumberFormat="1"/>
    <xf numFmtId="11" fontId="0" fillId="0" borderId="0" xfId="0" applyNumberFormat="1" applyFill="1" applyBorder="1"/>
    <xf numFmtId="11" fontId="0" fillId="0" borderId="0" xfId="0" applyNumberFormat="1" applyBorder="1"/>
    <xf numFmtId="0" fontId="0" fillId="0" borderId="0" xfId="0" applyNumberFormat="1" applyBorder="1"/>
    <xf numFmtId="0" fontId="0" fillId="0" borderId="0" xfId="0" applyFill="1" applyBorder="1" applyProtection="1"/>
    <xf numFmtId="11" fontId="0" fillId="0" borderId="0" xfId="0" applyNumberFormat="1" applyBorder="1" applyProtection="1"/>
    <xf numFmtId="0" fontId="0" fillId="0" borderId="3" xfId="0" applyBorder="1"/>
    <xf numFmtId="0" fontId="0" fillId="0" borderId="0" xfId="0" applyFill="1" applyBorder="1"/>
    <xf numFmtId="0" fontId="0" fillId="0" borderId="0" xfId="0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0" fontId="0" fillId="0" borderId="0" xfId="0" applyNumberFormat="1" applyBorder="1"/>
    <xf numFmtId="10" fontId="0" fillId="0" borderId="0" xfId="0" applyNumberFormat="1" applyBorder="1" applyProtection="1"/>
    <xf numFmtId="0" fontId="1" fillId="0" borderId="0" xfId="0" applyFont="1" applyFill="1" applyBorder="1"/>
    <xf numFmtId="11" fontId="1" fillId="0" borderId="0" xfId="0" applyNumberFormat="1" applyFont="1"/>
    <xf numFmtId="0" fontId="1" fillId="0" borderId="0" xfId="0" applyFont="1"/>
    <xf numFmtId="11" fontId="1" fillId="0" borderId="0" xfId="0" applyNumberFormat="1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11" fontId="1" fillId="0" borderId="0" xfId="0" applyNumberFormat="1" applyFont="1" applyFill="1" applyBorder="1" applyProtection="1"/>
    <xf numFmtId="164" fontId="1" fillId="0" borderId="0" xfId="0" applyNumberFormat="1" applyFont="1" applyFill="1" applyBorder="1" applyProtection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2" xfId="0" applyFill="1" applyBorder="1" applyProtection="1"/>
    <xf numFmtId="0" fontId="4" fillId="0" borderId="0" xfId="0" applyFont="1" applyFill="1" applyBorder="1"/>
    <xf numFmtId="0" fontId="5" fillId="0" borderId="0" xfId="0" applyFont="1" applyFill="1" applyBorder="1"/>
    <xf numFmtId="0" fontId="0" fillId="0" borderId="7" xfId="0" applyBorder="1" applyProtection="1"/>
    <xf numFmtId="0" fontId="1" fillId="0" borderId="0" xfId="0" applyFont="1" applyBorder="1" applyProtection="1"/>
    <xf numFmtId="0" fontId="6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right"/>
      <protection locked="0"/>
    </xf>
    <xf numFmtId="0" fontId="0" fillId="0" borderId="0" xfId="0" applyFill="1" applyProtection="1">
      <protection locked="0"/>
    </xf>
    <xf numFmtId="0" fontId="7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center"/>
      <protection locked="0"/>
    </xf>
    <xf numFmtId="164" fontId="5" fillId="0" borderId="0" xfId="0" applyNumberFormat="1" applyFont="1" applyFill="1" applyAlignment="1" applyProtection="1">
      <alignment horizontal="center"/>
      <protection locked="0"/>
    </xf>
    <xf numFmtId="0" fontId="9" fillId="0" borderId="0" xfId="1" applyNumberFormat="1" applyFont="1" applyFill="1" applyAlignment="1" applyProtection="1">
      <alignment horizontal="center" wrapText="1"/>
      <protection locked="0"/>
    </xf>
    <xf numFmtId="0" fontId="5" fillId="0" borderId="0" xfId="0" applyFont="1" applyFill="1" applyAlignment="1" applyProtection="1">
      <alignment horizontal="center" wrapText="1"/>
      <protection locked="0"/>
    </xf>
    <xf numFmtId="0" fontId="10" fillId="0" borderId="0" xfId="1" applyNumberFormat="1" applyFont="1" applyFill="1" applyAlignment="1" applyProtection="1">
      <alignment horizontal="left" wrapText="1"/>
      <protection locked="0"/>
    </xf>
    <xf numFmtId="0" fontId="7" fillId="0" borderId="0" xfId="0" applyFont="1" applyFill="1" applyAlignment="1" applyProtection="1">
      <alignment horizontal="left" wrapText="1"/>
      <protection locked="0"/>
    </xf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horizontal="center" vertical="center"/>
    </xf>
    <xf numFmtId="11" fontId="0" fillId="0" borderId="0" xfId="0" applyNumberFormat="1" applyFill="1" applyAlignment="1" applyProtection="1">
      <alignment horizontal="center" vertical="center"/>
    </xf>
    <xf numFmtId="1" fontId="0" fillId="0" borderId="0" xfId="0" applyNumberFormat="1" applyFill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/>
    </xf>
    <xf numFmtId="2" fontId="0" fillId="0" borderId="0" xfId="0" applyNumberFormat="1" applyFill="1" applyAlignment="1" applyProtection="1">
      <alignment horizontal="center" vertical="center"/>
    </xf>
    <xf numFmtId="0" fontId="0" fillId="0" borderId="0" xfId="0" applyFill="1" applyProtection="1">
      <protection hidden="1"/>
    </xf>
    <xf numFmtId="0" fontId="10" fillId="0" borderId="0" xfId="1" applyNumberFormat="1" applyFont="1" applyFill="1" applyAlignment="1" applyProtection="1">
      <alignment horizontal="left" wrapText="1"/>
      <protection hidden="1"/>
    </xf>
    <xf numFmtId="0" fontId="7" fillId="0" borderId="0" xfId="0" applyFont="1" applyFill="1" applyAlignment="1" applyProtection="1">
      <alignment horizontal="left" wrapText="1"/>
      <protection hidden="1"/>
    </xf>
    <xf numFmtId="0" fontId="7" fillId="0" borderId="0" xfId="1" applyNumberFormat="1" applyFont="1" applyFill="1" applyAlignment="1" applyProtection="1">
      <alignment horizontal="left" vertical="top"/>
      <protection locked="0"/>
    </xf>
    <xf numFmtId="0" fontId="7" fillId="0" borderId="0" xfId="0" applyFont="1" applyFill="1" applyAlignment="1" applyProtection="1">
      <alignment horizontal="left" vertical="top"/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7" fillId="0" borderId="0" xfId="0" applyNumberFormat="1" applyFont="1" applyFill="1" applyProtection="1">
      <protection locked="0"/>
    </xf>
    <xf numFmtId="0" fontId="1" fillId="8" borderId="9" xfId="0" applyFont="1" applyFill="1" applyBorder="1" applyAlignment="1">
      <alignment horizontal="center"/>
    </xf>
    <xf numFmtId="0" fontId="0" fillId="0" borderId="0" xfId="0" applyProtection="1"/>
    <xf numFmtId="0" fontId="0" fillId="0" borderId="0" xfId="0" applyFill="1" applyProtection="1"/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/>
    <xf numFmtId="0" fontId="0" fillId="0" borderId="0" xfId="0" applyAlignment="1" applyProtection="1">
      <alignment horizontal="center"/>
    </xf>
    <xf numFmtId="0" fontId="0" fillId="0" borderId="0" xfId="0" applyFont="1" applyFill="1" applyBorder="1" applyProtection="1"/>
    <xf numFmtId="0" fontId="1" fillId="0" borderId="0" xfId="0" applyFont="1" applyFill="1" applyBorder="1" applyAlignment="1">
      <alignment horizontal="center" vertical="center" textRotation="90"/>
    </xf>
    <xf numFmtId="2" fontId="0" fillId="0" borderId="0" xfId="0" applyNumberFormat="1" applyBorder="1" applyProtection="1"/>
    <xf numFmtId="11" fontId="3" fillId="0" borderId="4" xfId="0" applyNumberFormat="1" applyFont="1" applyBorder="1" applyProtection="1"/>
    <xf numFmtId="0" fontId="3" fillId="0" borderId="0" xfId="0" applyFont="1" applyFill="1" applyBorder="1" applyProtection="1"/>
    <xf numFmtId="0" fontId="1" fillId="0" borderId="0" xfId="0" applyFont="1" applyAlignment="1" applyProtection="1">
      <alignment horizontal="left"/>
    </xf>
    <xf numFmtId="0" fontId="0" fillId="0" borderId="0" xfId="0" applyFill="1" applyAlignment="1" applyProtection="1">
      <alignment horizontal="left"/>
      <protection hidden="1"/>
    </xf>
    <xf numFmtId="0" fontId="11" fillId="0" borderId="0" xfId="0" applyFont="1" applyFill="1" applyProtection="1"/>
    <xf numFmtId="0" fontId="11" fillId="0" borderId="0" xfId="0" applyFont="1" applyProtection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3" fillId="0" borderId="2" xfId="0" applyFont="1" applyBorder="1" applyProtection="1"/>
    <xf numFmtId="11" fontId="1" fillId="0" borderId="0" xfId="0" applyNumberFormat="1" applyFont="1" applyFill="1" applyBorder="1" applyProtection="1">
      <protection locked="0"/>
    </xf>
    <xf numFmtId="0" fontId="3" fillId="0" borderId="4" xfId="0" applyFont="1" applyBorder="1" applyProtection="1"/>
    <xf numFmtId="0" fontId="0" fillId="0" borderId="0" xfId="0" applyBorder="1" applyAlignment="1"/>
    <xf numFmtId="0" fontId="0" fillId="0" borderId="0" xfId="0" applyFill="1"/>
    <xf numFmtId="0" fontId="1" fillId="9" borderId="0" xfId="0" applyFont="1" applyFill="1" applyBorder="1" applyAlignment="1" applyProtection="1">
      <alignment horizontal="center"/>
    </xf>
    <xf numFmtId="2" fontId="1" fillId="10" borderId="0" xfId="0" applyNumberFormat="1" applyFont="1" applyFill="1" applyBorder="1" applyProtection="1"/>
    <xf numFmtId="11" fontId="1" fillId="11" borderId="0" xfId="0" applyNumberFormat="1" applyFont="1" applyFill="1" applyBorder="1" applyProtection="1">
      <protection locked="0"/>
    </xf>
    <xf numFmtId="0" fontId="0" fillId="0" borderId="0" xfId="0" applyBorder="1" applyAlignment="1">
      <alignment wrapText="1"/>
    </xf>
    <xf numFmtId="0" fontId="3" fillId="0" borderId="0" xfId="0" applyFont="1" applyBorder="1" applyAlignment="1" applyProtection="1"/>
    <xf numFmtId="11" fontId="1" fillId="10" borderId="4" xfId="0" applyNumberFormat="1" applyFont="1" applyFill="1" applyBorder="1" applyProtection="1"/>
    <xf numFmtId="11" fontId="1" fillId="10" borderId="0" xfId="0" applyNumberFormat="1" applyFont="1" applyFill="1" applyBorder="1" applyProtection="1"/>
    <xf numFmtId="11" fontId="1" fillId="10" borderId="4" xfId="0" applyNumberFormat="1" applyFont="1" applyFill="1" applyBorder="1" applyAlignment="1" applyProtection="1">
      <alignment horizontal="right" vertical="center"/>
    </xf>
    <xf numFmtId="0" fontId="0" fillId="9" borderId="0" xfId="0" applyFill="1" applyProtection="1"/>
    <xf numFmtId="0" fontId="0" fillId="9" borderId="0" xfId="0" applyFill="1" applyBorder="1" applyProtection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9" borderId="0" xfId="0" applyFont="1" applyFill="1" applyProtection="1"/>
    <xf numFmtId="0" fontId="0" fillId="9" borderId="0" xfId="0" applyFill="1" applyBorder="1"/>
    <xf numFmtId="0" fontId="3" fillId="0" borderId="1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164" fontId="1" fillId="0" borderId="10" xfId="0" applyNumberFormat="1" applyFont="1" applyFill="1" applyBorder="1" applyProtection="1">
      <protection locked="0"/>
    </xf>
    <xf numFmtId="164" fontId="1" fillId="10" borderId="11" xfId="0" applyNumberFormat="1" applyFont="1" applyFill="1" applyBorder="1" applyProtection="1"/>
    <xf numFmtId="164" fontId="1" fillId="0" borderId="11" xfId="0" applyNumberFormat="1" applyFont="1" applyFill="1" applyBorder="1" applyProtection="1">
      <protection locked="0"/>
    </xf>
    <xf numFmtId="164" fontId="1" fillId="0" borderId="12" xfId="0" applyNumberFormat="1" applyFont="1" applyFill="1" applyBorder="1" applyProtection="1">
      <protection locked="0"/>
    </xf>
    <xf numFmtId="0" fontId="0" fillId="0" borderId="10" xfId="0" applyBorder="1" applyProtection="1"/>
    <xf numFmtId="0" fontId="0" fillId="0" borderId="11" xfId="0" applyBorder="1" applyProtection="1"/>
    <xf numFmtId="0" fontId="1" fillId="0" borderId="11" xfId="0" applyFont="1" applyFill="1" applyBorder="1" applyProtection="1">
      <protection locked="0"/>
    </xf>
    <xf numFmtId="0" fontId="0" fillId="0" borderId="12" xfId="0" applyBorder="1"/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1" fillId="0" borderId="10" xfId="0" applyNumberFormat="1" applyFont="1" applyFill="1" applyBorder="1" applyProtection="1">
      <protection locked="0"/>
    </xf>
    <xf numFmtId="11" fontId="1" fillId="0" borderId="11" xfId="0" applyNumberFormat="1" applyFont="1" applyFill="1" applyBorder="1" applyProtection="1">
      <protection locked="0"/>
    </xf>
    <xf numFmtId="11" fontId="1" fillId="3" borderId="11" xfId="0" applyNumberFormat="1" applyFont="1" applyFill="1" applyBorder="1" applyProtection="1"/>
    <xf numFmtId="11" fontId="1" fillId="10" borderId="11" xfId="0" applyNumberFormat="1" applyFont="1" applyFill="1" applyBorder="1" applyProtection="1"/>
    <xf numFmtId="164" fontId="1" fillId="3" borderId="11" xfId="0" applyNumberFormat="1" applyFont="1" applyFill="1" applyBorder="1" applyProtection="1"/>
    <xf numFmtId="164" fontId="1" fillId="3" borderId="12" xfId="0" applyNumberFormat="1" applyFont="1" applyFill="1" applyBorder="1" applyProtection="1"/>
    <xf numFmtId="2" fontId="1" fillId="3" borderId="10" xfId="0" applyNumberFormat="1" applyFont="1" applyFill="1" applyBorder="1" applyProtection="1"/>
    <xf numFmtId="0" fontId="1" fillId="3" borderId="11" xfId="0" applyFont="1" applyFill="1" applyBorder="1" applyProtection="1"/>
    <xf numFmtId="0" fontId="1" fillId="0" borderId="11" xfId="0" applyFont="1" applyFill="1" applyBorder="1" applyProtection="1"/>
    <xf numFmtId="0" fontId="0" fillId="0" borderId="12" xfId="0" applyBorder="1" applyProtection="1"/>
    <xf numFmtId="0" fontId="1" fillId="0" borderId="13" xfId="0" applyFont="1" applyFill="1" applyBorder="1" applyProtection="1">
      <protection locked="0"/>
    </xf>
    <xf numFmtId="0" fontId="1" fillId="0" borderId="14" xfId="0" applyFont="1" applyFill="1" applyBorder="1" applyProtection="1">
      <protection locked="0"/>
    </xf>
    <xf numFmtId="0" fontId="1" fillId="3" borderId="10" xfId="0" applyFont="1" applyFill="1" applyBorder="1" applyProtection="1"/>
    <xf numFmtId="0" fontId="1" fillId="10" borderId="12" xfId="0" applyFont="1" applyFill="1" applyBorder="1" applyProtection="1"/>
    <xf numFmtId="0" fontId="3" fillId="0" borderId="12" xfId="0" applyFont="1" applyFill="1" applyBorder="1" applyAlignment="1" applyProtection="1">
      <alignment horizontal="center"/>
    </xf>
    <xf numFmtId="11" fontId="1" fillId="0" borderId="12" xfId="0" applyNumberFormat="1" applyFont="1" applyFill="1" applyBorder="1" applyProtection="1">
      <protection locked="0"/>
    </xf>
    <xf numFmtId="0" fontId="1" fillId="0" borderId="10" xfId="0" applyFont="1" applyBorder="1" applyProtection="1"/>
    <xf numFmtId="11" fontId="1" fillId="10" borderId="12" xfId="0" applyNumberFormat="1" applyFont="1" applyFill="1" applyBorder="1" applyProtection="1"/>
    <xf numFmtId="0" fontId="3" fillId="0" borderId="12" xfId="0" applyFont="1" applyBorder="1" applyAlignment="1">
      <alignment horizontal="center"/>
    </xf>
    <xf numFmtId="0" fontId="1" fillId="0" borderId="10" xfId="0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3" borderId="12" xfId="0" applyNumberFormat="1" applyFont="1" applyFill="1" applyBorder="1"/>
    <xf numFmtId="0" fontId="3" fillId="0" borderId="10" xfId="0" applyFont="1" applyFill="1" applyBorder="1" applyAlignment="1" applyProtection="1">
      <alignment horizontal="center"/>
    </xf>
    <xf numFmtId="2" fontId="1" fillId="10" borderId="13" xfId="0" applyNumberFormat="1" applyFont="1" applyFill="1" applyBorder="1" applyProtection="1"/>
    <xf numFmtId="0" fontId="1" fillId="0" borderId="14" xfId="0" applyFont="1" applyBorder="1" applyProtection="1"/>
    <xf numFmtId="2" fontId="1" fillId="0" borderId="10" xfId="0" applyNumberFormat="1" applyFont="1" applyFill="1" applyBorder="1" applyProtection="1">
      <protection locked="0"/>
    </xf>
    <xf numFmtId="2" fontId="1" fillId="10" borderId="12" xfId="0" applyNumberFormat="1" applyFont="1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3" fillId="0" borderId="11" xfId="0" applyFont="1" applyFill="1" applyBorder="1" applyProtection="1"/>
    <xf numFmtId="0" fontId="3" fillId="0" borderId="12" xfId="0" applyFont="1" applyBorder="1" applyProtection="1"/>
    <xf numFmtId="2" fontId="1" fillId="10" borderId="10" xfId="0" applyNumberFormat="1" applyFont="1" applyFill="1" applyBorder="1" applyProtection="1"/>
    <xf numFmtId="2" fontId="1" fillId="10" borderId="11" xfId="0" applyNumberFormat="1" applyFont="1" applyFill="1" applyBorder="1" applyProtection="1"/>
    <xf numFmtId="2" fontId="1" fillId="0" borderId="11" xfId="0" applyNumberFormat="1" applyFont="1" applyFill="1" applyBorder="1" applyProtection="1">
      <protection locked="0"/>
    </xf>
    <xf numFmtId="0" fontId="0" fillId="0" borderId="13" xfId="0" applyBorder="1" applyProtection="1"/>
    <xf numFmtId="1" fontId="0" fillId="0" borderId="7" xfId="0" applyNumberFormat="1" applyBorder="1" applyProtection="1"/>
    <xf numFmtId="0" fontId="0" fillId="0" borderId="14" xfId="0" applyBorder="1" applyProtection="1"/>
    <xf numFmtId="0" fontId="3" fillId="0" borderId="11" xfId="0" applyFont="1" applyBorder="1" applyProtection="1"/>
    <xf numFmtId="0" fontId="0" fillId="4" borderId="12" xfId="0" applyFill="1" applyBorder="1" applyAlignment="1" applyProtection="1">
      <alignment horizontal="center"/>
    </xf>
    <xf numFmtId="11" fontId="1" fillId="0" borderId="12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Protection="1"/>
    <xf numFmtId="164" fontId="1" fillId="3" borderId="10" xfId="0" applyNumberFormat="1" applyFont="1" applyFill="1" applyBorder="1" applyProtection="1"/>
    <xf numFmtId="0" fontId="1" fillId="3" borderId="11" xfId="0" applyNumberFormat="1" applyFont="1" applyFill="1" applyBorder="1" applyProtection="1"/>
    <xf numFmtId="164" fontId="1" fillId="0" borderId="11" xfId="0" applyNumberFormat="1" applyFont="1" applyBorder="1" applyProtection="1"/>
    <xf numFmtId="164" fontId="1" fillId="0" borderId="12" xfId="0" applyNumberFormat="1" applyFont="1" applyBorder="1" applyProtection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 applyProtection="1">
      <alignment horizontal="left"/>
      <protection hidden="1"/>
    </xf>
    <xf numFmtId="0" fontId="15" fillId="0" borderId="0" xfId="0" applyFont="1" applyProtection="1"/>
    <xf numFmtId="0" fontId="3" fillId="0" borderId="19" xfId="0" applyFont="1" applyBorder="1" applyAlignment="1" applyProtection="1">
      <alignment horizontal="center"/>
    </xf>
    <xf numFmtId="0" fontId="15" fillId="0" borderId="20" xfId="0" applyFont="1" applyBorder="1" applyProtection="1"/>
    <xf numFmtId="0" fontId="3" fillId="0" borderId="15" xfId="0" applyFont="1" applyBorder="1" applyAlignment="1" applyProtection="1">
      <alignment horizontal="center"/>
    </xf>
    <xf numFmtId="164" fontId="1" fillId="10" borderId="17" xfId="0" applyNumberFormat="1" applyFont="1" applyFill="1" applyBorder="1" applyProtection="1"/>
    <xf numFmtId="0" fontId="15" fillId="0" borderId="21" xfId="0" applyFont="1" applyBorder="1" applyProtection="1"/>
    <xf numFmtId="164" fontId="1" fillId="10" borderId="7" xfId="0" applyNumberFormat="1" applyFont="1" applyFill="1" applyBorder="1" applyProtection="1"/>
    <xf numFmtId="0" fontId="15" fillId="0" borderId="0" xfId="0" applyFont="1" applyFill="1" applyProtection="1"/>
    <xf numFmtId="0" fontId="3" fillId="0" borderId="22" xfId="0" applyFont="1" applyBorder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15" fillId="0" borderId="19" xfId="0" applyFont="1" applyBorder="1" applyAlignment="1" applyProtection="1">
      <alignment horizontal="center"/>
    </xf>
    <xf numFmtId="2" fontId="1" fillId="3" borderId="20" xfId="0" applyNumberFormat="1" applyFont="1" applyFill="1" applyBorder="1" applyProtection="1"/>
    <xf numFmtId="0" fontId="15" fillId="0" borderId="15" xfId="0" applyFont="1" applyBorder="1" applyAlignment="1" applyProtection="1">
      <alignment horizontal="center"/>
    </xf>
    <xf numFmtId="0" fontId="1" fillId="3" borderId="21" xfId="0" applyFont="1" applyFill="1" applyBorder="1" applyProtection="1"/>
    <xf numFmtId="0" fontId="1" fillId="0" borderId="21" xfId="0" applyFont="1" applyFill="1" applyBorder="1" applyProtection="1"/>
    <xf numFmtId="0" fontId="15" fillId="0" borderId="0" xfId="0" applyFont="1" applyFill="1" applyBorder="1" applyProtection="1"/>
    <xf numFmtId="0" fontId="15" fillId="0" borderId="15" xfId="0" applyFont="1" applyFill="1" applyBorder="1" applyAlignment="1" applyProtection="1">
      <alignment horizontal="center"/>
    </xf>
    <xf numFmtId="11" fontId="1" fillId="3" borderId="17" xfId="0" applyNumberFormat="1" applyFont="1" applyFill="1" applyBorder="1" applyProtection="1"/>
    <xf numFmtId="11" fontId="1" fillId="3" borderId="7" xfId="0" applyNumberFormat="1" applyFont="1" applyFill="1" applyBorder="1" applyProtection="1"/>
    <xf numFmtId="11" fontId="1" fillId="10" borderId="17" xfId="0" applyNumberFormat="1" applyFont="1" applyFill="1" applyBorder="1" applyProtection="1"/>
    <xf numFmtId="11" fontId="1" fillId="10" borderId="7" xfId="0" applyNumberFormat="1" applyFont="1" applyFill="1" applyBorder="1" applyProtection="1"/>
    <xf numFmtId="164" fontId="1" fillId="3" borderId="17" xfId="0" applyNumberFormat="1" applyFont="1" applyFill="1" applyBorder="1" applyProtection="1"/>
    <xf numFmtId="164" fontId="1" fillId="3" borderId="7" xfId="0" applyNumberFormat="1" applyFont="1" applyFill="1" applyBorder="1" applyProtection="1"/>
    <xf numFmtId="0" fontId="15" fillId="0" borderId="22" xfId="0" applyFont="1" applyFill="1" applyBorder="1" applyAlignment="1" applyProtection="1">
      <alignment horizontal="center"/>
    </xf>
    <xf numFmtId="164" fontId="1" fillId="3" borderId="18" xfId="0" applyNumberFormat="1" applyFont="1" applyFill="1" applyBorder="1" applyProtection="1"/>
    <xf numFmtId="0" fontId="15" fillId="0" borderId="23" xfId="0" applyFont="1" applyBorder="1" applyProtection="1"/>
    <xf numFmtId="164" fontId="1" fillId="3" borderId="14" xfId="0" applyNumberFormat="1" applyFont="1" applyFill="1" applyBorder="1" applyProtection="1"/>
    <xf numFmtId="0" fontId="15" fillId="0" borderId="0" xfId="0" applyFont="1" applyFill="1" applyBorder="1" applyAlignment="1" applyProtection="1">
      <alignment horizontal="center"/>
    </xf>
    <xf numFmtId="0" fontId="15" fillId="0" borderId="0" xfId="0" applyFont="1" applyBorder="1" applyProtection="1"/>
    <xf numFmtId="0" fontId="1" fillId="3" borderId="20" xfId="0" applyFont="1" applyFill="1" applyBorder="1" applyProtection="1"/>
    <xf numFmtId="0" fontId="1" fillId="10" borderId="23" xfId="0" applyFont="1" applyFill="1" applyBorder="1" applyProtection="1"/>
    <xf numFmtId="164" fontId="1" fillId="0" borderId="16" xfId="0" applyNumberFormat="1" applyFont="1" applyFill="1" applyBorder="1" applyProtection="1"/>
    <xf numFmtId="0" fontId="1" fillId="0" borderId="20" xfId="0" applyFont="1" applyBorder="1" applyProtection="1"/>
    <xf numFmtId="164" fontId="1" fillId="0" borderId="13" xfId="0" applyNumberFormat="1" applyFont="1" applyFill="1" applyBorder="1" applyProtection="1"/>
    <xf numFmtId="0" fontId="3" fillId="0" borderId="22" xfId="0" applyFont="1" applyFill="1" applyBorder="1" applyAlignment="1" applyProtection="1">
      <alignment horizontal="center"/>
    </xf>
    <xf numFmtId="11" fontId="1" fillId="10" borderId="23" xfId="0" applyNumberFormat="1" applyFont="1" applyFill="1" applyBorder="1" applyProtection="1"/>
    <xf numFmtId="0" fontId="3" fillId="0" borderId="19" xfId="0" applyFont="1" applyFill="1" applyBorder="1" applyAlignment="1" applyProtection="1">
      <alignment horizontal="center"/>
    </xf>
    <xf numFmtId="2" fontId="1" fillId="10" borderId="3" xfId="0" applyNumberFormat="1" applyFont="1" applyFill="1" applyBorder="1" applyProtection="1"/>
    <xf numFmtId="2" fontId="1" fillId="10" borderId="20" xfId="0" applyNumberFormat="1" applyFont="1" applyFill="1" applyBorder="1" applyProtection="1"/>
    <xf numFmtId="2" fontId="1" fillId="10" borderId="18" xfId="0" applyNumberFormat="1" applyFont="1" applyFill="1" applyBorder="1" applyProtection="1"/>
    <xf numFmtId="0" fontId="1" fillId="0" borderId="5" xfId="0" applyFont="1" applyBorder="1" applyProtection="1"/>
    <xf numFmtId="2" fontId="1" fillId="10" borderId="14" xfId="0" applyNumberFormat="1" applyFont="1" applyFill="1" applyBorder="1" applyProtection="1"/>
    <xf numFmtId="0" fontId="1" fillId="0" borderId="23" xfId="0" applyFont="1" applyBorder="1" applyProtection="1"/>
    <xf numFmtId="0" fontId="15" fillId="0" borderId="19" xfId="0" applyFont="1" applyFill="1" applyBorder="1" applyProtection="1"/>
    <xf numFmtId="2" fontId="1" fillId="10" borderId="16" xfId="0" applyNumberFormat="1" applyFont="1" applyFill="1" applyBorder="1" applyProtection="1"/>
    <xf numFmtId="0" fontId="15" fillId="0" borderId="3" xfId="0" applyFont="1" applyBorder="1" applyProtection="1"/>
    <xf numFmtId="0" fontId="15" fillId="0" borderId="15" xfId="0" applyFont="1" applyFill="1" applyBorder="1" applyProtection="1"/>
    <xf numFmtId="2" fontId="1" fillId="10" borderId="17" xfId="0" applyNumberFormat="1" applyFont="1" applyFill="1" applyBorder="1" applyProtection="1"/>
    <xf numFmtId="0" fontId="15" fillId="0" borderId="1" xfId="0" applyFont="1" applyBorder="1" applyProtection="1"/>
    <xf numFmtId="2" fontId="1" fillId="10" borderId="7" xfId="0" applyNumberFormat="1" applyFont="1" applyFill="1" applyBorder="1" applyProtection="1"/>
    <xf numFmtId="0" fontId="3" fillId="0" borderId="15" xfId="0" applyFont="1" applyFill="1" applyBorder="1" applyProtection="1"/>
    <xf numFmtId="2" fontId="1" fillId="10" borderId="1" xfId="0" applyNumberFormat="1" applyFont="1" applyFill="1" applyBorder="1" applyProtection="1"/>
    <xf numFmtId="11" fontId="1" fillId="10" borderId="1" xfId="0" applyNumberFormat="1" applyFont="1" applyFill="1" applyBorder="1" applyProtection="1"/>
    <xf numFmtId="0" fontId="3" fillId="0" borderId="22" xfId="0" applyFont="1" applyBorder="1" applyProtection="1"/>
    <xf numFmtId="11" fontId="1" fillId="10" borderId="5" xfId="0" applyNumberFormat="1" applyFont="1" applyFill="1" applyBorder="1" applyProtection="1"/>
    <xf numFmtId="0" fontId="15" fillId="0" borderId="3" xfId="0" applyFont="1" applyFill="1" applyBorder="1" applyProtection="1"/>
    <xf numFmtId="0" fontId="3" fillId="0" borderId="15" xfId="0" applyFont="1" applyBorder="1" applyProtection="1"/>
    <xf numFmtId="11" fontId="1" fillId="10" borderId="5" xfId="0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/>
    </xf>
    <xf numFmtId="0" fontId="18" fillId="0" borderId="0" xfId="0" applyFont="1" applyBorder="1"/>
    <xf numFmtId="0" fontId="4" fillId="0" borderId="0" xfId="0" applyFont="1" applyFill="1" applyBorder="1" applyProtection="1"/>
    <xf numFmtId="0" fontId="5" fillId="0" borderId="0" xfId="0" applyFont="1" applyFill="1" applyBorder="1" applyProtection="1"/>
    <xf numFmtId="0" fontId="15" fillId="0" borderId="0" xfId="0" applyFont="1" applyBorder="1" applyAlignment="1" applyProtection="1">
      <alignment horizontal="left"/>
    </xf>
    <xf numFmtId="0" fontId="1" fillId="8" borderId="26" xfId="0" applyFont="1" applyFill="1" applyBorder="1" applyAlignment="1" applyProtection="1">
      <alignment horizontal="center"/>
    </xf>
    <xf numFmtId="0" fontId="15" fillId="0" borderId="25" xfId="0" applyFont="1" applyBorder="1" applyAlignment="1" applyProtection="1">
      <alignment horizontal="center"/>
    </xf>
    <xf numFmtId="164" fontId="1" fillId="0" borderId="17" xfId="0" applyNumberFormat="1" applyFont="1" applyFill="1" applyBorder="1" applyProtection="1"/>
    <xf numFmtId="164" fontId="1" fillId="0" borderId="7" xfId="0" applyNumberFormat="1" applyFont="1" applyFill="1" applyBorder="1" applyProtection="1"/>
    <xf numFmtId="164" fontId="1" fillId="0" borderId="18" xfId="0" applyNumberFormat="1" applyFont="1" applyFill="1" applyBorder="1" applyProtection="1"/>
    <xf numFmtId="164" fontId="1" fillId="0" borderId="14" xfId="0" applyNumberFormat="1" applyFont="1" applyFill="1" applyBorder="1" applyProtection="1"/>
    <xf numFmtId="0" fontId="1" fillId="0" borderId="0" xfId="0" applyFont="1" applyFill="1" applyBorder="1" applyAlignment="1" applyProtection="1">
      <alignment horizontal="center" vertical="center" textRotation="90"/>
    </xf>
    <xf numFmtId="0" fontId="19" fillId="0" borderId="16" xfId="0" applyNumberFormat="1" applyFont="1" applyFill="1" applyBorder="1" applyProtection="1"/>
    <xf numFmtId="0" fontId="19" fillId="0" borderId="13" xfId="0" applyNumberFormat="1" applyFont="1" applyFill="1" applyBorder="1" applyProtection="1"/>
    <xf numFmtId="11" fontId="1" fillId="0" borderId="17" xfId="0" applyNumberFormat="1" applyFont="1" applyFill="1" applyBorder="1" applyProtection="1"/>
    <xf numFmtId="11" fontId="1" fillId="0" borderId="7" xfId="0" applyNumberFormat="1" applyFont="1" applyFill="1" applyBorder="1" applyProtection="1"/>
    <xf numFmtId="0" fontId="1" fillId="0" borderId="17" xfId="0" applyFont="1" applyFill="1" applyBorder="1" applyProtection="1"/>
    <xf numFmtId="0" fontId="1" fillId="0" borderId="7" xfId="0" applyFont="1" applyFill="1" applyBorder="1" applyProtection="1"/>
    <xf numFmtId="11" fontId="19" fillId="0" borderId="17" xfId="0" applyNumberFormat="1" applyFont="1" applyFill="1" applyBorder="1" applyProtection="1"/>
    <xf numFmtId="11" fontId="19" fillId="0" borderId="7" xfId="0" applyNumberFormat="1" applyFont="1" applyFill="1" applyBorder="1" applyProtection="1"/>
    <xf numFmtId="0" fontId="19" fillId="0" borderId="16" xfId="0" applyFont="1" applyFill="1" applyBorder="1" applyProtection="1"/>
    <xf numFmtId="0" fontId="19" fillId="0" borderId="13" xfId="0" applyFont="1" applyFill="1" applyBorder="1" applyProtection="1"/>
    <xf numFmtId="0" fontId="19" fillId="0" borderId="18" xfId="0" applyFont="1" applyFill="1" applyBorder="1" applyProtection="1"/>
    <xf numFmtId="0" fontId="19" fillId="0" borderId="14" xfId="0" applyFont="1" applyFill="1" applyBorder="1" applyProtection="1"/>
    <xf numFmtId="11" fontId="19" fillId="0" borderId="18" xfId="0" applyNumberFormat="1" applyFont="1" applyFill="1" applyBorder="1" applyProtection="1"/>
    <xf numFmtId="11" fontId="19" fillId="0" borderId="14" xfId="0" applyNumberFormat="1" applyFont="1" applyFill="1" applyBorder="1" applyProtection="1"/>
    <xf numFmtId="0" fontId="15" fillId="0" borderId="0" xfId="0" applyFont="1" applyBorder="1" applyAlignment="1" applyProtection="1">
      <alignment wrapText="1"/>
    </xf>
    <xf numFmtId="0" fontId="1" fillId="0" borderId="16" xfId="0" applyFont="1" applyFill="1" applyBorder="1" applyProtection="1"/>
    <xf numFmtId="0" fontId="1" fillId="0" borderId="13" xfId="0" applyFont="1" applyFill="1" applyBorder="1" applyProtection="1"/>
    <xf numFmtId="2" fontId="19" fillId="0" borderId="18" xfId="0" applyNumberFormat="1" applyFont="1" applyFill="1" applyBorder="1" applyProtection="1"/>
    <xf numFmtId="2" fontId="1" fillId="3" borderId="23" xfId="0" applyNumberFormat="1" applyFont="1" applyFill="1" applyBorder="1" applyProtection="1"/>
    <xf numFmtId="2" fontId="19" fillId="0" borderId="14" xfId="0" applyNumberFormat="1" applyFont="1" applyFill="1" applyBorder="1" applyProtection="1"/>
    <xf numFmtId="0" fontId="15" fillId="0" borderId="0" xfId="0" applyFont="1" applyBorder="1" applyAlignment="1" applyProtection="1"/>
    <xf numFmtId="2" fontId="19" fillId="0" borderId="16" xfId="0" applyNumberFormat="1" applyFont="1" applyFill="1" applyBorder="1" applyProtection="1"/>
    <xf numFmtId="2" fontId="19" fillId="0" borderId="13" xfId="0" applyNumberFormat="1" applyFont="1" applyFill="1" applyBorder="1" applyProtection="1"/>
    <xf numFmtId="2" fontId="1" fillId="0" borderId="17" xfId="0" applyNumberFormat="1" applyFont="1" applyFill="1" applyBorder="1" applyProtection="1"/>
    <xf numFmtId="2" fontId="1" fillId="0" borderId="7" xfId="0" applyNumberFormat="1" applyFont="1" applyFill="1" applyBorder="1" applyProtection="1"/>
    <xf numFmtId="2" fontId="19" fillId="0" borderId="17" xfId="0" applyNumberFormat="1" applyFont="1" applyFill="1" applyBorder="1" applyProtection="1"/>
    <xf numFmtId="2" fontId="19" fillId="0" borderId="7" xfId="0" applyNumberFormat="1" applyFont="1" applyFill="1" applyBorder="1" applyProtection="1"/>
    <xf numFmtId="11" fontId="1" fillId="11" borderId="0" xfId="0" applyNumberFormat="1" applyFont="1" applyFill="1" applyBorder="1" applyProtection="1"/>
    <xf numFmtId="11" fontId="19" fillId="0" borderId="18" xfId="0" applyNumberFormat="1" applyFont="1" applyFill="1" applyBorder="1" applyAlignment="1" applyProtection="1">
      <alignment horizontal="right" vertical="center"/>
    </xf>
    <xf numFmtId="11" fontId="19" fillId="0" borderId="14" xfId="0" applyNumberFormat="1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horizontal="center"/>
      <protection locked="0"/>
    </xf>
    <xf numFmtId="2" fontId="1" fillId="10" borderId="15" xfId="0" applyNumberFormat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0" xfId="0" applyFont="1" applyFill="1" applyBorder="1" applyAlignment="1" applyProtection="1">
      <alignment horizontal="center"/>
    </xf>
    <xf numFmtId="0" fontId="1" fillId="3" borderId="7" xfId="0" applyNumberFormat="1" applyFont="1" applyFill="1" applyBorder="1" applyAlignment="1" applyProtection="1">
      <alignment horizontal="center"/>
    </xf>
    <xf numFmtId="2" fontId="1" fillId="10" borderId="24" xfId="0" applyNumberFormat="1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2" fontId="1" fillId="10" borderId="0" xfId="0" applyNumberFormat="1" applyFont="1" applyFill="1" applyBorder="1" applyAlignment="1" applyProtection="1">
      <alignment horizontal="center"/>
    </xf>
    <xf numFmtId="0" fontId="1" fillId="10" borderId="1" xfId="0" applyFont="1" applyFill="1" applyBorder="1" applyAlignment="1" applyProtection="1">
      <alignment horizontal="center"/>
    </xf>
    <xf numFmtId="0" fontId="20" fillId="0" borderId="0" xfId="0" applyFont="1" applyBorder="1"/>
    <xf numFmtId="0" fontId="1" fillId="7" borderId="16" xfId="0" applyFont="1" applyFill="1" applyBorder="1" applyAlignment="1" applyProtection="1">
      <alignment horizontal="center" vertical="center" textRotation="90" wrapText="1"/>
    </xf>
    <xf numFmtId="0" fontId="15" fillId="0" borderId="17" xfId="0" applyFont="1" applyBorder="1" applyAlignment="1" applyProtection="1">
      <alignment horizontal="center" vertical="center" textRotation="90" wrapText="1"/>
    </xf>
    <xf numFmtId="0" fontId="15" fillId="0" borderId="18" xfId="0" applyFont="1" applyBorder="1" applyAlignment="1" applyProtection="1">
      <alignment horizontal="center" vertical="center" textRotation="90" wrapText="1"/>
    </xf>
    <xf numFmtId="0" fontId="1" fillId="6" borderId="16" xfId="0" applyFont="1" applyFill="1" applyBorder="1" applyAlignment="1" applyProtection="1">
      <alignment horizontal="center" wrapText="1"/>
    </xf>
    <xf numFmtId="0" fontId="15" fillId="6" borderId="18" xfId="0" applyFont="1" applyFill="1" applyBorder="1" applyProtection="1"/>
    <xf numFmtId="0" fontId="16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5" borderId="16" xfId="0" applyFont="1" applyFill="1" applyBorder="1" applyAlignment="1" applyProtection="1">
      <alignment horizontal="center" vertical="center" textRotation="90" wrapText="1"/>
    </xf>
    <xf numFmtId="0" fontId="1" fillId="5" borderId="17" xfId="0" applyFont="1" applyFill="1" applyBorder="1" applyAlignment="1" applyProtection="1">
      <alignment horizontal="center" vertical="center" textRotation="90"/>
    </xf>
    <xf numFmtId="0" fontId="1" fillId="5" borderId="18" xfId="0" applyFont="1" applyFill="1" applyBorder="1" applyAlignment="1" applyProtection="1">
      <alignment horizontal="center" vertical="center" textRotation="90"/>
    </xf>
    <xf numFmtId="0" fontId="1" fillId="14" borderId="16" xfId="0" applyFont="1" applyFill="1" applyBorder="1" applyAlignment="1" applyProtection="1">
      <alignment horizontal="center" vertical="center" wrapText="1"/>
    </xf>
    <xf numFmtId="0" fontId="15" fillId="14" borderId="18" xfId="0" applyFont="1" applyFill="1" applyBorder="1" applyAlignment="1" applyProtection="1">
      <alignment wrapText="1"/>
    </xf>
    <xf numFmtId="0" fontId="1" fillId="2" borderId="16" xfId="0" applyFont="1" applyFill="1" applyBorder="1" applyAlignment="1" applyProtection="1">
      <alignment horizontal="center" wrapText="1"/>
    </xf>
    <xf numFmtId="0" fontId="1" fillId="2" borderId="17" xfId="0" applyFont="1" applyFill="1" applyBorder="1" applyAlignment="1" applyProtection="1">
      <alignment horizontal="center" wrapText="1"/>
    </xf>
    <xf numFmtId="0" fontId="1" fillId="2" borderId="18" xfId="0" applyFont="1" applyFill="1" applyBorder="1" applyAlignment="1" applyProtection="1">
      <alignment horizontal="center"/>
    </xf>
    <xf numFmtId="0" fontId="1" fillId="15" borderId="16" xfId="0" applyFont="1" applyFill="1" applyBorder="1" applyAlignment="1" applyProtection="1">
      <alignment horizontal="center" vertical="center" wrapText="1"/>
    </xf>
    <xf numFmtId="0" fontId="1" fillId="15" borderId="18" xfId="0" applyFont="1" applyFill="1" applyBorder="1" applyAlignment="1" applyProtection="1">
      <alignment horizontal="center" vertical="center" wrapText="1"/>
    </xf>
    <xf numFmtId="0" fontId="1" fillId="13" borderId="16" xfId="0" applyFont="1" applyFill="1" applyBorder="1" applyAlignment="1" applyProtection="1">
      <alignment horizontal="center" vertical="center" textRotation="90" wrapText="1"/>
    </xf>
    <xf numFmtId="0" fontId="1" fillId="13" borderId="17" xfId="0" applyFont="1" applyFill="1" applyBorder="1" applyAlignment="1" applyProtection="1">
      <alignment horizontal="center" vertical="center" textRotation="90" wrapText="1"/>
    </xf>
    <xf numFmtId="0" fontId="1" fillId="13" borderId="18" xfId="0" applyFont="1" applyFill="1" applyBorder="1" applyAlignment="1" applyProtection="1">
      <alignment horizontal="center" vertical="center" textRotation="90" wrapText="1"/>
    </xf>
    <xf numFmtId="0" fontId="1" fillId="12" borderId="16" xfId="0" applyFont="1" applyFill="1" applyBorder="1" applyAlignment="1" applyProtection="1">
      <alignment horizontal="center" vertical="center" textRotation="90" wrapText="1"/>
    </xf>
    <xf numFmtId="0" fontId="1" fillId="12" borderId="17" xfId="0" applyFont="1" applyFill="1" applyBorder="1" applyAlignment="1" applyProtection="1">
      <alignment horizontal="center" vertical="center" textRotation="90" wrapText="1"/>
    </xf>
    <xf numFmtId="0" fontId="1" fillId="12" borderId="18" xfId="0" applyFont="1" applyFill="1" applyBorder="1" applyAlignment="1" applyProtection="1">
      <alignment horizontal="center" vertical="center" textRotation="90" wrapText="1"/>
    </xf>
    <xf numFmtId="0" fontId="1" fillId="11" borderId="16" xfId="0" applyFont="1" applyFill="1" applyBorder="1" applyAlignment="1">
      <alignment horizontal="center" vertical="center" textRotation="90"/>
    </xf>
    <xf numFmtId="0" fontId="1" fillId="11" borderId="17" xfId="0" applyFont="1" applyFill="1" applyBorder="1" applyAlignment="1">
      <alignment horizontal="center" vertical="center" textRotation="90"/>
    </xf>
    <xf numFmtId="0" fontId="1" fillId="11" borderId="18" xfId="0" applyFont="1" applyFill="1" applyBorder="1" applyAlignment="1">
      <alignment horizontal="center" vertical="center" textRotation="90"/>
    </xf>
    <xf numFmtId="0" fontId="1" fillId="5" borderId="16" xfId="0" applyFont="1" applyFill="1" applyBorder="1" applyAlignment="1">
      <alignment horizontal="center" vertical="center" textRotation="90" wrapText="1"/>
    </xf>
    <xf numFmtId="0" fontId="1" fillId="5" borderId="17" xfId="0" applyFont="1" applyFill="1" applyBorder="1" applyAlignment="1">
      <alignment horizontal="center" vertical="center" textRotation="90"/>
    </xf>
    <xf numFmtId="0" fontId="1" fillId="5" borderId="18" xfId="0" applyFont="1" applyFill="1" applyBorder="1" applyAlignment="1">
      <alignment horizontal="center" vertical="center" textRotation="90"/>
    </xf>
    <xf numFmtId="0" fontId="1" fillId="6" borderId="16" xfId="0" applyFont="1" applyFill="1" applyBorder="1" applyAlignment="1">
      <alignment horizontal="center" wrapText="1"/>
    </xf>
    <xf numFmtId="0" fontId="0" fillId="6" borderId="18" xfId="0" applyFill="1" applyBorder="1"/>
    <xf numFmtId="0" fontId="1" fillId="12" borderId="17" xfId="0" applyFont="1" applyFill="1" applyBorder="1" applyAlignment="1">
      <alignment horizontal="center" vertical="center" textRotation="90" wrapText="1"/>
    </xf>
    <xf numFmtId="0" fontId="1" fillId="12" borderId="18" xfId="0" applyFont="1" applyFill="1" applyBorder="1" applyAlignment="1">
      <alignment horizontal="center" vertical="center" textRotation="90" wrapText="1"/>
    </xf>
    <xf numFmtId="0" fontId="1" fillId="13" borderId="17" xfId="0" applyFont="1" applyFill="1" applyBorder="1" applyAlignment="1">
      <alignment horizontal="center" vertical="center" textRotation="90" wrapText="1"/>
    </xf>
    <xf numFmtId="0" fontId="1" fillId="13" borderId="18" xfId="0" applyFont="1" applyFill="1" applyBorder="1" applyAlignment="1">
      <alignment horizontal="center" vertical="center" textRotation="90" wrapText="1"/>
    </xf>
    <xf numFmtId="0" fontId="1" fillId="14" borderId="16" xfId="0" applyFont="1" applyFill="1" applyBorder="1" applyAlignment="1">
      <alignment horizontal="center" vertical="center" wrapText="1"/>
    </xf>
    <xf numFmtId="0" fontId="0" fillId="14" borderId="18" xfId="0" applyFill="1" applyBorder="1" applyAlignment="1">
      <alignment wrapText="1"/>
    </xf>
    <xf numFmtId="0" fontId="1" fillId="15" borderId="16" xfId="0" applyFont="1" applyFill="1" applyBorder="1" applyAlignment="1">
      <alignment horizontal="center" vertical="center" wrapText="1"/>
    </xf>
    <xf numFmtId="0" fontId="1" fillId="15" borderId="18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textRotation="90" wrapText="1"/>
    </xf>
    <xf numFmtId="0" fontId="0" fillId="0" borderId="17" xfId="0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 textRotation="90" wrapText="1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3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/>
              <a:t>Predicted Efficiency Loss</a:t>
            </a:r>
          </a:p>
        </c:rich>
      </c:tx>
      <c:layout>
        <c:manualLayout>
          <c:xMode val="edge"/>
          <c:yMode val="edge"/>
          <c:x val="0.38503649635036497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97705498009755"/>
          <c:y val="0.16223425323389351"/>
          <c:w val="0.59148453873110329"/>
          <c:h val="0.6542561687793082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PE99155_eff_calc!$AA$45</c:f>
              <c:strCache>
                <c:ptCount val="1"/>
                <c:pt idx="0">
                  <c:v>Other Internal Loss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PE99155_eff_calc!$F$46:$F$65</c:f>
              <c:numCache>
                <c:formatCode>General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</c:numCache>
            </c:numRef>
          </c:cat>
          <c:val>
            <c:numRef>
              <c:f>PE99155_eff_calc!$AA$46:$AA$65</c:f>
              <c:numCache>
                <c:formatCode>0.00E+00</c:formatCode>
                <c:ptCount val="20"/>
                <c:pt idx="0">
                  <c:v>0.11646206479617049</c:v>
                </c:pt>
                <c:pt idx="1">
                  <c:v>6.1895697724402343E-2</c:v>
                </c:pt>
                <c:pt idx="2">
                  <c:v>4.2325870957015704E-2</c:v>
                </c:pt>
                <c:pt idx="3">
                  <c:v>3.2359317024158181E-2</c:v>
                </c:pt>
                <c:pt idx="4">
                  <c:v>2.6382977072971939E-2</c:v>
                </c:pt>
                <c:pt idx="5">
                  <c:v>2.2443495587641849E-2</c:v>
                </c:pt>
                <c:pt idx="6">
                  <c:v>1.9682643781354633E-2</c:v>
                </c:pt>
                <c:pt idx="7">
                  <c:v>1.7664230851862115E-2</c:v>
                </c:pt>
                <c:pt idx="8">
                  <c:v>1.6143104448199261E-2</c:v>
                </c:pt>
                <c:pt idx="9">
                  <c:v>1.497090328376416E-2</c:v>
                </c:pt>
                <c:pt idx="10">
                  <c:v>1.4052593717068268E-2</c:v>
                </c:pt>
                <c:pt idx="11">
                  <c:v>1.3324496141922812E-2</c:v>
                </c:pt>
                <c:pt idx="12">
                  <c:v>1.2742348773654114E-2</c:v>
                </c:pt>
                <c:pt idx="13">
                  <c:v>1.2274438101777951E-2</c:v>
                </c:pt>
                <c:pt idx="14">
                  <c:v>1.1897452669812524E-2</c:v>
                </c:pt>
                <c:pt idx="15">
                  <c:v>1.1593878701568213E-2</c:v>
                </c:pt>
                <c:pt idx="16">
                  <c:v>1.1350307700299836E-2</c:v>
                </c:pt>
                <c:pt idx="17">
                  <c:v>1.1156304005402106E-2</c:v>
                </c:pt>
                <c:pt idx="18">
                  <c:v>1.1003627461854008E-2</c:v>
                </c:pt>
                <c:pt idx="19">
                  <c:v>1.0885687745791931E-2</c:v>
                </c:pt>
              </c:numCache>
            </c:numRef>
          </c:val>
        </c:ser>
        <c:ser>
          <c:idx val="2"/>
          <c:order val="1"/>
          <c:tx>
            <c:strRef>
              <c:f>PE99155_eff_calc!$N$45</c:f>
              <c:strCache>
                <c:ptCount val="1"/>
                <c:pt idx="0">
                  <c:v>LSS Resistance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PE99155_eff_calc!$N$46:$N$65</c:f>
              <c:numCache>
                <c:formatCode>0.00E+00</c:formatCode>
                <c:ptCount val="20"/>
                <c:pt idx="0">
                  <c:v>2.6639443700585941E-3</c:v>
                </c:pt>
                <c:pt idx="1">
                  <c:v>4.9569451759874927E-3</c:v>
                </c:pt>
                <c:pt idx="2">
                  <c:v>7.2122524813451874E-3</c:v>
                </c:pt>
                <c:pt idx="3">
                  <c:v>9.4307843231908363E-3</c:v>
                </c:pt>
                <c:pt idx="4">
                  <c:v>1.1613432097054765E-2</c:v>
                </c:pt>
                <c:pt idx="5">
                  <c:v>1.3761059154268885E-2</c:v>
                </c:pt>
                <c:pt idx="6">
                  <c:v>1.5874501527919492E-2</c:v>
                </c:pt>
                <c:pt idx="7">
                  <c:v>1.7954568909801554E-2</c:v>
                </c:pt>
                <c:pt idx="8">
                  <c:v>2.0002045647633231E-2</c:v>
                </c:pt>
                <c:pt idx="9">
                  <c:v>2.2017691716074164E-2</c:v>
                </c:pt>
                <c:pt idx="10">
                  <c:v>2.4002243650290998E-2</c:v>
                </c:pt>
                <c:pt idx="11">
                  <c:v>2.5956415439792067E-2</c:v>
                </c:pt>
                <c:pt idx="12">
                  <c:v>2.7880899382981501E-2</c:v>
                </c:pt>
                <c:pt idx="13">
                  <c:v>2.9776366903789601E-2</c:v>
                </c:pt>
                <c:pt idx="14">
                  <c:v>3.1643469332030633E-2</c:v>
                </c:pt>
                <c:pt idx="15">
                  <c:v>3.3482838649206259E-2</c:v>
                </c:pt>
                <c:pt idx="16">
                  <c:v>3.5295088201448867E-2</c:v>
                </c:pt>
                <c:pt idx="17">
                  <c:v>3.7080813381238927E-2</c:v>
                </c:pt>
                <c:pt idx="18">
                  <c:v>3.8840592279455993E-2</c:v>
                </c:pt>
                <c:pt idx="19">
                  <c:v>4.0574986309243943E-2</c:v>
                </c:pt>
              </c:numCache>
            </c:numRef>
          </c:val>
        </c:ser>
        <c:ser>
          <c:idx val="0"/>
          <c:order val="2"/>
          <c:tx>
            <c:strRef>
              <c:f>PE99155_eff_calc!$J$45</c:f>
              <c:strCache>
                <c:ptCount val="1"/>
                <c:pt idx="0">
                  <c:v>HSS Resistance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PE99155_eff_calc!$J$46:$J$65</c:f>
              <c:numCache>
                <c:formatCode>0.00E+00</c:formatCode>
                <c:ptCount val="20"/>
                <c:pt idx="0">
                  <c:v>4.7938341699428734E-3</c:v>
                </c:pt>
                <c:pt idx="1">
                  <c:v>8.9201461675641781E-3</c:v>
                </c:pt>
                <c:pt idx="2">
                  <c:v>1.2978627773134528E-2</c:v>
                </c:pt>
                <c:pt idx="3">
                  <c:v>1.6970931017181647E-2</c:v>
                </c:pt>
                <c:pt idx="4">
                  <c:v>2.0898659988139289E-2</c:v>
                </c:pt>
                <c:pt idx="5">
                  <c:v>2.4763368308208467E-2</c:v>
                </c:pt>
                <c:pt idx="6">
                  <c:v>2.8566560439727572E-2</c:v>
                </c:pt>
                <c:pt idx="7">
                  <c:v>3.230969344322588E-2</c:v>
                </c:pt>
                <c:pt idx="8">
                  <c:v>3.599417877193594E-2</c:v>
                </c:pt>
                <c:pt idx="9">
                  <c:v>3.9621384019165116E-2</c:v>
                </c:pt>
                <c:pt idx="10">
                  <c:v>4.3192634598269969E-2</c:v>
                </c:pt>
                <c:pt idx="11">
                  <c:v>4.6709215351134044E-2</c:v>
                </c:pt>
                <c:pt idx="12">
                  <c:v>5.017237208595917E-2</c:v>
                </c:pt>
                <c:pt idx="13">
                  <c:v>5.3583313046812235E-2</c:v>
                </c:pt>
                <c:pt idx="14">
                  <c:v>5.6943210317898382E-2</c:v>
                </c:pt>
                <c:pt idx="15">
                  <c:v>6.0253201165652866E-2</c:v>
                </c:pt>
                <c:pt idx="16">
                  <c:v>6.3514389321700282E-2</c:v>
                </c:pt>
                <c:pt idx="17">
                  <c:v>6.6727846209621952E-2</c:v>
                </c:pt>
                <c:pt idx="18">
                  <c:v>6.9894612118337918E-2</c:v>
                </c:pt>
                <c:pt idx="19">
                  <c:v>7.3015697324767939E-2</c:v>
                </c:pt>
              </c:numCache>
            </c:numRef>
          </c:val>
        </c:ser>
        <c:ser>
          <c:idx val="9"/>
          <c:order val="3"/>
          <c:tx>
            <c:strRef>
              <c:f>PE99155_eff_calc!$AD$45</c:f>
              <c:strCache>
                <c:ptCount val="1"/>
                <c:pt idx="0">
                  <c:v>In Bypass Cap Res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PE99155_eff_calc!$F$46:$F$65</c:f>
              <c:numCache>
                <c:formatCode>General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</c:numCache>
            </c:numRef>
          </c:cat>
          <c:val>
            <c:numRef>
              <c:f>PE99155_eff_calc!$AD$46:$AD$65</c:f>
              <c:numCache>
                <c:formatCode>0.00E+00</c:formatCode>
                <c:ptCount val="20"/>
                <c:pt idx="0">
                  <c:v>4.3630663506632962E-4</c:v>
                </c:pt>
                <c:pt idx="1">
                  <c:v>9.2014164669814975E-4</c:v>
                </c:pt>
                <c:pt idx="2">
                  <c:v>1.3983625354830481E-3</c:v>
                </c:pt>
                <c:pt idx="3">
                  <c:v>1.8694224050917923E-3</c:v>
                </c:pt>
                <c:pt idx="4">
                  <c:v>2.3331257158422172E-3</c:v>
                </c:pt>
                <c:pt idx="5">
                  <c:v>2.7895220388237793E-3</c:v>
                </c:pt>
                <c:pt idx="6">
                  <c:v>3.2387302674286096E-3</c:v>
                </c:pt>
                <c:pt idx="7">
                  <c:v>3.6808926478209469E-3</c:v>
                </c:pt>
                <c:pt idx="8">
                  <c:v>4.1161591432545917E-3</c:v>
                </c:pt>
                <c:pt idx="9">
                  <c:v>4.5446811747040282E-3</c:v>
                </c:pt>
                <c:pt idx="10">
                  <c:v>4.9666088375668769E-3</c:v>
                </c:pt>
                <c:pt idx="11">
                  <c:v>5.3820895842269104E-3</c:v>
                </c:pt>
                <c:pt idx="12">
                  <c:v>5.7912675868803188E-3</c:v>
                </c:pt>
                <c:pt idx="13">
                  <c:v>6.1942834398967077E-3</c:v>
                </c:pt>
                <c:pt idx="14">
                  <c:v>6.5912740413011043E-3</c:v>
                </c:pt>
                <c:pt idx="15">
                  <c:v>6.9823725726868091E-3</c:v>
                </c:pt>
                <c:pt idx="16">
                  <c:v>7.3677085347068584E-3</c:v>
                </c:pt>
                <c:pt idx="17">
                  <c:v>7.7474078143415824E-3</c:v>
                </c:pt>
                <c:pt idx="18">
                  <c:v>8.1215927702204798E-3</c:v>
                </c:pt>
                <c:pt idx="19">
                  <c:v>8.4903823278435226E-3</c:v>
                </c:pt>
              </c:numCache>
            </c:numRef>
          </c:val>
        </c:ser>
        <c:ser>
          <c:idx val="8"/>
          <c:order val="4"/>
          <c:tx>
            <c:strRef>
              <c:f>PE99155_eff_calc!$AC$45</c:f>
              <c:strCache>
                <c:ptCount val="1"/>
                <c:pt idx="0">
                  <c:v>Out Bypass Cap Res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PE99155_eff_calc!$F$46:$F$65</c:f>
              <c:numCache>
                <c:formatCode>General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</c:numCache>
            </c:numRef>
          </c:cat>
          <c:val>
            <c:numRef>
              <c:f>PE99155_eff_calc!$AC$46:$AC$65</c:f>
              <c:numCache>
                <c:formatCode>0.00E+00</c:formatCode>
                <c:ptCount val="20"/>
                <c:pt idx="0">
                  <c:v>1.8550452171187484E-3</c:v>
                </c:pt>
                <c:pt idx="1">
                  <c:v>9.7804171630330532E-4</c:v>
                </c:pt>
                <c:pt idx="2">
                  <c:v>6.606021048200341E-4</c:v>
                </c:pt>
                <c:pt idx="3">
                  <c:v>4.9676403196529338E-4</c:v>
                </c:pt>
                <c:pt idx="4">
                  <c:v>3.9679008772826823E-4</c:v>
                </c:pt>
                <c:pt idx="5">
                  <c:v>3.2945035416947506E-4</c:v>
                </c:pt>
                <c:pt idx="6">
                  <c:v>2.8102268737232835E-4</c:v>
                </c:pt>
                <c:pt idx="7">
                  <c:v>2.445320902304519E-4</c:v>
                </c:pt>
                <c:pt idx="8">
                  <c:v>2.1605773616646676E-4</c:v>
                </c:pt>
                <c:pt idx="9">
                  <c:v>1.9322624042108965E-4</c:v>
                </c:pt>
                <c:pt idx="10">
                  <c:v>1.745168113498228E-4</c:v>
                </c:pt>
                <c:pt idx="11">
                  <c:v>1.5890995796210408E-4</c:v>
                </c:pt>
                <c:pt idx="12">
                  <c:v>1.4569666472649033E-4</c:v>
                </c:pt>
                <c:pt idx="13">
                  <c:v>1.3436856691432188E-4</c:v>
                </c:pt>
                <c:pt idx="14">
                  <c:v>1.2455166366782131E-4</c:v>
                </c:pt>
                <c:pt idx="15">
                  <c:v>1.1596468053596023E-4</c:v>
                </c:pt>
                <c:pt idx="16">
                  <c:v>1.0839201172685041E-4</c:v>
                </c:pt>
                <c:pt idx="17">
                  <c:v>1.0166561442772084E-4</c:v>
                </c:pt>
                <c:pt idx="18">
                  <c:v>9.5652580349139756E-5</c:v>
                </c:pt>
                <c:pt idx="19">
                  <c:v>9.0246410797656501E-5</c:v>
                </c:pt>
              </c:numCache>
            </c:numRef>
          </c:val>
        </c:ser>
        <c:ser>
          <c:idx val="7"/>
          <c:order val="5"/>
          <c:tx>
            <c:strRef>
              <c:f>PE99155_eff_calc!$AB$45</c:f>
              <c:strCache>
                <c:ptCount val="1"/>
                <c:pt idx="0">
                  <c:v>Inductor Resistance Loss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PE99155_eff_calc!$F$46:$F$65</c:f>
              <c:numCache>
                <c:formatCode>General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</c:numCache>
            </c:numRef>
          </c:cat>
          <c:val>
            <c:numRef>
              <c:f>PE99155_eff_calc!$AB$46:$AB$65</c:f>
              <c:numCache>
                <c:formatCode>0.00E+00</c:formatCode>
                <c:ptCount val="20"/>
                <c:pt idx="0">
                  <c:v>1.1755346789836564E-3</c:v>
                </c:pt>
                <c:pt idx="1">
                  <c:v>2.1873808708947899E-3</c:v>
                </c:pt>
                <c:pt idx="2">
                  <c:v>3.1825938261693921E-3</c:v>
                </c:pt>
                <c:pt idx="3">
                  <c:v>4.1615786525160793E-3</c:v>
                </c:pt>
                <c:pt idx="4">
                  <c:v>5.1247287013765561E-3</c:v>
                </c:pt>
                <c:pt idx="5">
                  <c:v>6.0724249489612159E-3</c:v>
                </c:pt>
                <c:pt idx="6">
                  <c:v>7.0050363165946846E-3</c:v>
                </c:pt>
                <c:pt idx="7">
                  <c:v>7.9229201018222728E-3</c:v>
                </c:pt>
                <c:pt idx="8">
                  <c:v>8.8264224184568061E-3</c:v>
                </c:pt>
                <c:pt idx="9">
                  <c:v>9.7158786250656787E-3</c:v>
                </c:pt>
                <c:pt idx="10">
                  <c:v>1.0591613736930896E-2</c:v>
                </c:pt>
                <c:pt idx="11">
                  <c:v>1.1453942820476862E-2</c:v>
                </c:pt>
                <c:pt idx="12">
                  <c:v>1.2303171370364572E-2</c:v>
                </c:pt>
                <c:pt idx="13">
                  <c:v>1.3139595669851007E-2</c:v>
                </c:pt>
                <c:pt idx="14">
                  <c:v>1.3963503135142278E-2</c:v>
                </c:pt>
                <c:pt idx="15">
                  <c:v>1.4775172644498768E-2</c:v>
                </c:pt>
                <c:pt idx="16">
                  <c:v>1.5574874852839902E-2</c:v>
                </c:pt>
                <c:pt idx="17">
                  <c:v>1.6362872492569656E-2</c:v>
                </c:pt>
                <c:pt idx="18">
                  <c:v>1.7139420661310995E-2</c:v>
                </c:pt>
                <c:pt idx="19">
                  <c:v>1.790476709720264E-2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980032"/>
        <c:axId val="129320832"/>
      </c:barChart>
      <c:catAx>
        <c:axId val="12598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00"/>
                  <a:t>Output Current (A)</a:t>
                </a:r>
              </a:p>
            </c:rich>
          </c:tx>
          <c:layout>
            <c:manualLayout>
              <c:xMode val="edge"/>
              <c:yMode val="edge"/>
              <c:x val="0.40145985401459855"/>
              <c:y val="0.904256436030602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320832"/>
        <c:crosses val="autoZero"/>
        <c:auto val="1"/>
        <c:lblAlgn val="ctr"/>
        <c:lblOffset val="100"/>
        <c:noMultiLvlLbl val="0"/>
      </c:catAx>
      <c:valAx>
        <c:axId val="1293208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00"/>
                  <a:t>Efficiency Loss (% input power)</a:t>
                </a:r>
              </a:p>
            </c:rich>
          </c:tx>
          <c:layout>
            <c:manualLayout>
              <c:xMode val="edge"/>
              <c:yMode val="edge"/>
              <c:x val="2.9197080291970802E-2"/>
              <c:y val="0.2765960239012676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9800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813596320261944"/>
          <c:y val="0.32564679415073117"/>
          <c:w val="0.24069139735093531"/>
          <c:h val="0.35083339266136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/>
              <a:t>Predicted Efficiency</a:t>
            </a:r>
          </a:p>
        </c:rich>
      </c:tx>
      <c:layout>
        <c:manualLayout>
          <c:xMode val="edge"/>
          <c:yMode val="edge"/>
          <c:x val="0.40875912408759124"/>
          <c:y val="3.20855614973262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248175182481752"/>
          <c:y val="0.15882347888332141"/>
          <c:w val="0.77007299270072993"/>
          <c:h val="0.65379670722977812"/>
        </c:manualLayout>
      </c:layout>
      <c:scatterChart>
        <c:scatterStyle val="lineMarker"/>
        <c:varyColors val="0"/>
        <c:ser>
          <c:idx val="0"/>
          <c:order val="0"/>
          <c:tx>
            <c:strRef>
              <c:f>PE99155_eff_calc!$AG$45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PE99155_eff_calc!$F$46:$F$65</c:f>
              <c:numCache>
                <c:formatCode>General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</c:numCache>
            </c:numRef>
          </c:xVal>
          <c:yVal>
            <c:numRef>
              <c:f>PE99155_eff_calc!$AG$46:$AG$65</c:f>
              <c:numCache>
                <c:formatCode>0.00%</c:formatCode>
                <c:ptCount val="20"/>
                <c:pt idx="0">
                  <c:v>0.87261327013265932</c:v>
                </c:pt>
                <c:pt idx="1">
                  <c:v>0.9201416466981498</c:v>
                </c:pt>
                <c:pt idx="2">
                  <c:v>0.93224169032203208</c:v>
                </c:pt>
                <c:pt idx="3">
                  <c:v>0.93471120254589612</c:v>
                </c:pt>
                <c:pt idx="4">
                  <c:v>0.933250286336887</c:v>
                </c:pt>
                <c:pt idx="5">
                  <c:v>0.92984067960792638</c:v>
                </c:pt>
                <c:pt idx="6">
                  <c:v>0.92535150497960272</c:v>
                </c:pt>
                <c:pt idx="7">
                  <c:v>0.92022316195523679</c:v>
                </c:pt>
                <c:pt idx="8">
                  <c:v>0.91470203183435372</c:v>
                </c:pt>
                <c:pt idx="9">
                  <c:v>0.90893623494080578</c:v>
                </c:pt>
                <c:pt idx="10">
                  <c:v>0.90301978864852317</c:v>
                </c:pt>
                <c:pt idx="11">
                  <c:v>0.89701493070448524</c:v>
                </c:pt>
                <c:pt idx="12">
                  <c:v>0.89096424413543385</c:v>
                </c:pt>
                <c:pt idx="13">
                  <c:v>0.88489763427095824</c:v>
                </c:pt>
                <c:pt idx="14">
                  <c:v>0.87883653884014723</c:v>
                </c:pt>
                <c:pt idx="15">
                  <c:v>0.87279657158585111</c:v>
                </c:pt>
                <c:pt idx="16">
                  <c:v>0.86678923937727737</c:v>
                </c:pt>
                <c:pt idx="17">
                  <c:v>0.86082309048239802</c:v>
                </c:pt>
                <c:pt idx="18">
                  <c:v>0.85490450212847147</c:v>
                </c:pt>
                <c:pt idx="19">
                  <c:v>0.84903823278435242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92320"/>
        <c:axId val="56402688"/>
      </c:scatterChart>
      <c:valAx>
        <c:axId val="56392320"/>
        <c:scaling>
          <c:orientation val="minMax"/>
          <c:max val="10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00"/>
                  <a:t>Output Current (A)</a:t>
                </a:r>
              </a:p>
            </c:rich>
          </c:tx>
          <c:layout>
            <c:manualLayout>
              <c:xMode val="edge"/>
              <c:yMode val="edge"/>
              <c:x val="0.48175176765864858"/>
              <c:y val="0.89572197566213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402688"/>
        <c:crosses val="autoZero"/>
        <c:crossBetween val="midCat"/>
        <c:majorUnit val="1"/>
      </c:valAx>
      <c:valAx>
        <c:axId val="5640268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00"/>
                  <a:t>Efficiency (output power / input power)</a:t>
                </a:r>
              </a:p>
            </c:rich>
          </c:tx>
          <c:layout>
            <c:manualLayout>
              <c:xMode val="edge"/>
              <c:yMode val="edge"/>
              <c:x val="4.3816226875113128E-2"/>
              <c:y val="0.1684492483894058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3923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Min and Max inductor Value</a:t>
            </a:r>
          </a:p>
        </c:rich>
      </c:tx>
      <c:layout>
        <c:manualLayout>
          <c:xMode val="edge"/>
          <c:yMode val="edge"/>
          <c:x val="0.32911392405063289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88607594936708"/>
          <c:y val="0.14734774066797643"/>
          <c:w val="0.66297468354430378"/>
          <c:h val="0.7151277013752456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Sheet1!$I$8</c:f>
              <c:strCache>
                <c:ptCount val="1"/>
                <c:pt idx="0">
                  <c:v>Max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Sheet1!$F$9:$F$35</c:f>
              <c:numCache>
                <c:formatCode>General</c:formatCode>
                <c:ptCount val="27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</c:numCache>
            </c:numRef>
          </c:xVal>
          <c:yVal>
            <c:numRef>
              <c:f>Sheet1!$I$9:$I$35</c:f>
              <c:numCache>
                <c:formatCode>0.00E+00</c:formatCode>
                <c:ptCount val="27"/>
                <c:pt idx="0">
                  <c:v>2.4242424242424244E-6</c:v>
                </c:pt>
                <c:pt idx="1">
                  <c:v>2.6000000000000005E-6</c:v>
                </c:pt>
                <c:pt idx="2">
                  <c:v>2.7636363636363631E-6</c:v>
                </c:pt>
                <c:pt idx="3">
                  <c:v>2.9151515151515152E-6</c:v>
                </c:pt>
                <c:pt idx="4">
                  <c:v>3.0545454545454537E-6</c:v>
                </c:pt>
                <c:pt idx="5">
                  <c:v>3.1818181818181817E-6</c:v>
                </c:pt>
                <c:pt idx="6">
                  <c:v>3.296969696969697E-6</c:v>
                </c:pt>
                <c:pt idx="7">
                  <c:v>3.3999999999999992E-6</c:v>
                </c:pt>
                <c:pt idx="8">
                  <c:v>3.4909090909090909E-6</c:v>
                </c:pt>
                <c:pt idx="9">
                  <c:v>3.5696969696969694E-6</c:v>
                </c:pt>
                <c:pt idx="10">
                  <c:v>3.6363636363636362E-6</c:v>
                </c:pt>
                <c:pt idx="11">
                  <c:v>3.6909090909090911E-6</c:v>
                </c:pt>
                <c:pt idx="12">
                  <c:v>3.7333333333333337E-6</c:v>
                </c:pt>
                <c:pt idx="13">
                  <c:v>3.7636363636363633E-6</c:v>
                </c:pt>
                <c:pt idx="14">
                  <c:v>3.7818181818181815E-6</c:v>
                </c:pt>
                <c:pt idx="15">
                  <c:v>3.7878787878787874E-6</c:v>
                </c:pt>
                <c:pt idx="16">
                  <c:v>3.7818181818181815E-6</c:v>
                </c:pt>
                <c:pt idx="17">
                  <c:v>3.7636363636363633E-6</c:v>
                </c:pt>
                <c:pt idx="18">
                  <c:v>3.7333333333333329E-6</c:v>
                </c:pt>
                <c:pt idx="19">
                  <c:v>3.6909090909090906E-6</c:v>
                </c:pt>
                <c:pt idx="20">
                  <c:v>3.6363636363636362E-6</c:v>
                </c:pt>
                <c:pt idx="21">
                  <c:v>3.569696969696969E-6</c:v>
                </c:pt>
                <c:pt idx="22">
                  <c:v>3.4909090909090904E-6</c:v>
                </c:pt>
                <c:pt idx="23">
                  <c:v>3.4000000000000001E-6</c:v>
                </c:pt>
                <c:pt idx="24">
                  <c:v>3.2969696969696966E-6</c:v>
                </c:pt>
                <c:pt idx="25">
                  <c:v>3.1818181818181813E-6</c:v>
                </c:pt>
                <c:pt idx="26">
                  <c:v>3.0545454545454541E-6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Sheet1!$M$8</c:f>
              <c:strCache>
                <c:ptCount val="1"/>
                <c:pt idx="0">
                  <c:v>Min 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Sheet1!$F$9:$F$35</c:f>
              <c:numCache>
                <c:formatCode>General</c:formatCode>
                <c:ptCount val="27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</c:numCache>
            </c:numRef>
          </c:xVal>
          <c:yVal>
            <c:numRef>
              <c:f>Sheet1!$M$9:$M$35</c:f>
              <c:numCache>
                <c:formatCode>0.00E+00</c:formatCode>
                <c:ptCount val="27"/>
                <c:pt idx="0">
                  <c:v>5.9059768485707555E-7</c:v>
                </c:pt>
                <c:pt idx="1">
                  <c:v>6.4965745334278304E-7</c:v>
                </c:pt>
                <c:pt idx="2">
                  <c:v>7.0871722182849043E-7</c:v>
                </c:pt>
                <c:pt idx="3">
                  <c:v>7.6777699031419803E-7</c:v>
                </c:pt>
                <c:pt idx="4">
                  <c:v>8.2683675879990541E-7</c:v>
                </c:pt>
                <c:pt idx="5">
                  <c:v>8.8589652728561301E-7</c:v>
                </c:pt>
                <c:pt idx="6">
                  <c:v>9.4495629577132061E-7</c:v>
                </c:pt>
                <c:pt idx="7">
                  <c:v>1.0040160642570282E-6</c:v>
                </c:pt>
                <c:pt idx="8">
                  <c:v>1.0630758327427359E-6</c:v>
                </c:pt>
                <c:pt idx="9">
                  <c:v>1.1221356012284434E-6</c:v>
                </c:pt>
                <c:pt idx="10">
                  <c:v>1.1811953697141511E-6</c:v>
                </c:pt>
                <c:pt idx="11">
                  <c:v>1.2402551381998586E-6</c:v>
                </c:pt>
                <c:pt idx="12">
                  <c:v>1.2993149066855663E-6</c:v>
                </c:pt>
                <c:pt idx="13">
                  <c:v>1.3583746751712736E-6</c:v>
                </c:pt>
                <c:pt idx="14">
                  <c:v>1.4174344436569809E-6</c:v>
                </c:pt>
                <c:pt idx="15">
                  <c:v>1.4764942121426884E-6</c:v>
                </c:pt>
                <c:pt idx="16">
                  <c:v>1.5355539806283961E-6</c:v>
                </c:pt>
                <c:pt idx="17">
                  <c:v>1.5946137491141035E-6</c:v>
                </c:pt>
                <c:pt idx="18">
                  <c:v>1.6536735175998108E-6</c:v>
                </c:pt>
                <c:pt idx="19">
                  <c:v>1.7127332860855185E-6</c:v>
                </c:pt>
                <c:pt idx="20">
                  <c:v>1.7717930545712262E-6</c:v>
                </c:pt>
                <c:pt idx="21">
                  <c:v>1.8308528230569337E-6</c:v>
                </c:pt>
                <c:pt idx="22">
                  <c:v>1.8899125915426412E-6</c:v>
                </c:pt>
                <c:pt idx="23">
                  <c:v>1.9489723600283489E-6</c:v>
                </c:pt>
                <c:pt idx="24">
                  <c:v>2.0080321285140564E-6</c:v>
                </c:pt>
                <c:pt idx="25">
                  <c:v>2.0670918969997639E-6</c:v>
                </c:pt>
                <c:pt idx="26">
                  <c:v>2.1261516654854714E-6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288192"/>
        <c:axId val="57294848"/>
      </c:scatterChart>
      <c:valAx>
        <c:axId val="572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Vout</a:t>
                </a:r>
              </a:p>
            </c:rich>
          </c:tx>
          <c:layout>
            <c:manualLayout>
              <c:xMode val="edge"/>
              <c:yMode val="edge"/>
              <c:x val="0.47310126582278483"/>
              <c:y val="0.923379174852652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294848"/>
        <c:crosses val="autoZero"/>
        <c:crossBetween val="midCat"/>
      </c:valAx>
      <c:valAx>
        <c:axId val="5729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</a:t>
                </a:r>
              </a:p>
            </c:rich>
          </c:tx>
          <c:layout>
            <c:manualLayout>
              <c:xMode val="edge"/>
              <c:yMode val="edge"/>
              <c:x val="2.5316455696202531E-2"/>
              <c:y val="0.49312377210216107"/>
            </c:manualLayout>
          </c:layout>
          <c:overlay val="0"/>
          <c:spPr>
            <a:noFill/>
            <a:ln w="25400">
              <a:noFill/>
            </a:ln>
          </c:spPr>
        </c:title>
        <c:numFmt formatCode="0.00E+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2881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867088607594933"/>
          <c:y val="0.46365422396856582"/>
          <c:w val="0.11867088607594933"/>
          <c:h val="8.44793713163064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526677</xdr:colOff>
      <xdr:row>1</xdr:row>
      <xdr:rowOff>44824</xdr:rowOff>
    </xdr:from>
    <xdr:to>
      <xdr:col>8</xdr:col>
      <xdr:colOff>14882</xdr:colOff>
      <xdr:row>6</xdr:row>
      <xdr:rowOff>77276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059" y="201706"/>
          <a:ext cx="3578352" cy="8168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990600</xdr:colOff>
      <xdr:row>1</xdr:row>
      <xdr:rowOff>114300</xdr:rowOff>
    </xdr:to>
    <xdr:pic>
      <xdr:nvPicPr>
        <xdr:cNvPr id="24714" name="Picture 2" descr="PerSemiLogo_sm_2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537883</xdr:colOff>
      <xdr:row>1</xdr:row>
      <xdr:rowOff>56030</xdr:rowOff>
    </xdr:from>
    <xdr:to>
      <xdr:col>10</xdr:col>
      <xdr:colOff>373471</xdr:colOff>
      <xdr:row>6</xdr:row>
      <xdr:rowOff>77276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295" y="212912"/>
          <a:ext cx="3578352" cy="8168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9525</xdr:colOff>
      <xdr:row>23</xdr:row>
      <xdr:rowOff>19050</xdr:rowOff>
    </xdr:from>
    <xdr:to>
      <xdr:col>14</xdr:col>
      <xdr:colOff>341313</xdr:colOff>
      <xdr:row>45</xdr:row>
      <xdr:rowOff>38100</xdr:rowOff>
    </xdr:to>
    <xdr:graphicFrame macro="">
      <xdr:nvGraphicFramePr>
        <xdr:cNvPr id="165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9525</xdr:colOff>
      <xdr:row>0</xdr:row>
      <xdr:rowOff>133350</xdr:rowOff>
    </xdr:from>
    <xdr:to>
      <xdr:col>12</xdr:col>
      <xdr:colOff>0</xdr:colOff>
      <xdr:row>22</xdr:row>
      <xdr:rowOff>133350</xdr:rowOff>
    </xdr:to>
    <xdr:graphicFrame macro="">
      <xdr:nvGraphicFramePr>
        <xdr:cNvPr id="1657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522415</xdr:colOff>
      <xdr:row>6</xdr:row>
      <xdr:rowOff>23114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5438" y="158750"/>
          <a:ext cx="3578352" cy="8168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35</xdr:row>
      <xdr:rowOff>19050</xdr:rowOff>
    </xdr:from>
    <xdr:to>
      <xdr:col>13</xdr:col>
      <xdr:colOff>400050</xdr:colOff>
      <xdr:row>65</xdr:row>
      <xdr:rowOff>9525</xdr:rowOff>
    </xdr:to>
    <xdr:graphicFrame macro="">
      <xdr:nvGraphicFramePr>
        <xdr:cNvPr id="267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152400</xdr:colOff>
          <xdr:row>1</xdr:row>
          <xdr:rowOff>0</xdr:rowOff>
        </xdr:from>
        <xdr:to>
          <xdr:col>12</xdr:col>
          <xdr:colOff>457200</xdr:colOff>
          <xdr:row>40</xdr:row>
          <xdr:rowOff>152400</xdr:rowOff>
        </xdr:to>
        <xdr:sp macro="" textlink="">
          <xdr:nvSpPr>
            <xdr:cNvPr id="25605" name="Object 5" hidden="1">
              <a:extLst>
                <a:ext uri="{63B3BB69-23CF-44E3-9099-C40C66FF867C}">
                  <a14:compatExt spid="_x0000_s25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13</xdr:col>
      <xdr:colOff>0</xdr:colOff>
      <xdr:row>1</xdr:row>
      <xdr:rowOff>0</xdr:rowOff>
    </xdr:from>
    <xdr:to>
      <xdr:col>18</xdr:col>
      <xdr:colOff>530352</xdr:colOff>
      <xdr:row>6</xdr:row>
      <xdr:rowOff>7239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61925"/>
          <a:ext cx="3578352" cy="816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zoomScale="85" zoomScaleNormal="85" workbookViewId="0">
      <selection activeCell="L11" sqref="L11"/>
    </sheetView>
  </sheetViews>
  <sheetFormatPr defaultColWidth="9.109375" defaultRowHeight="13.2" x14ac:dyDescent="0.25"/>
  <cols>
    <col min="1" max="1" width="17.109375" style="165" customWidth="1"/>
    <col min="2" max="2" width="32.109375" style="166" customWidth="1"/>
    <col min="3" max="3" width="13.109375" style="165" bestFit="1" customWidth="1"/>
    <col min="4" max="8" width="12.33203125" style="165" customWidth="1"/>
    <col min="9" max="11" width="9.109375" style="165"/>
    <col min="12" max="12" width="9.109375" style="165" customWidth="1"/>
    <col min="13" max="13" width="9.109375" style="165"/>
    <col min="14" max="16" width="9.109375" style="165" customWidth="1"/>
    <col min="17" max="16384" width="9.109375" style="165"/>
  </cols>
  <sheetData>
    <row r="1" spans="1:13" x14ac:dyDescent="0.25">
      <c r="A1" s="279" t="s">
        <v>233</v>
      </c>
    </row>
    <row r="2" spans="1:13" x14ac:dyDescent="0.25">
      <c r="A2" s="165" t="s">
        <v>239</v>
      </c>
    </row>
    <row r="3" spans="1:13" x14ac:dyDescent="0.25">
      <c r="A3" s="69" t="s">
        <v>234</v>
      </c>
      <c r="B3" s="229"/>
      <c r="C3" s="230"/>
      <c r="D3" s="230"/>
      <c r="E3" s="197"/>
      <c r="F3" s="197"/>
      <c r="G3" s="197"/>
      <c r="H3" s="197"/>
    </row>
    <row r="4" spans="1:13" x14ac:dyDescent="0.25">
      <c r="A4" s="197" t="s">
        <v>235</v>
      </c>
      <c r="B4" s="227"/>
      <c r="C4" s="197"/>
      <c r="D4" s="197"/>
      <c r="E4" s="197"/>
      <c r="F4" s="197"/>
      <c r="G4" s="197"/>
      <c r="H4" s="197"/>
    </row>
    <row r="5" spans="1:13" x14ac:dyDescent="0.25">
      <c r="A5" s="197" t="s">
        <v>236</v>
      </c>
      <c r="B5" s="227"/>
      <c r="C5" s="197"/>
      <c r="D5" s="197"/>
      <c r="E5" s="197"/>
      <c r="F5" s="197"/>
      <c r="G5" s="197"/>
      <c r="H5" s="197"/>
    </row>
    <row r="6" spans="1:13" x14ac:dyDescent="0.25">
      <c r="A6" s="197" t="s">
        <v>237</v>
      </c>
      <c r="B6" s="227"/>
      <c r="C6" s="197"/>
      <c r="D6" s="197"/>
      <c r="E6" s="197"/>
      <c r="F6" s="197"/>
      <c r="G6" s="197"/>
      <c r="H6" s="197"/>
    </row>
    <row r="7" spans="1:13" x14ac:dyDescent="0.25">
      <c r="A7" s="69" t="s">
        <v>238</v>
      </c>
      <c r="B7" s="227"/>
      <c r="C7" s="197"/>
      <c r="D7" s="197"/>
      <c r="E7" s="197"/>
      <c r="F7" s="197"/>
      <c r="G7" s="197"/>
      <c r="H7" s="197"/>
    </row>
    <row r="8" spans="1:13" x14ac:dyDescent="0.25">
      <c r="A8" s="69"/>
      <c r="B8" s="227"/>
      <c r="C8" s="197"/>
      <c r="D8" s="197"/>
      <c r="E8" s="197"/>
      <c r="F8" s="197"/>
      <c r="G8" s="197"/>
      <c r="H8" s="197"/>
    </row>
    <row r="9" spans="1:13" x14ac:dyDescent="0.25">
      <c r="A9" s="197"/>
      <c r="B9" s="231"/>
      <c r="C9" s="285" t="s">
        <v>224</v>
      </c>
      <c r="D9" s="285"/>
      <c r="E9" s="285"/>
      <c r="F9" s="285"/>
      <c r="G9" s="285"/>
      <c r="H9" s="285"/>
      <c r="M9" s="167"/>
    </row>
    <row r="10" spans="1:13" ht="13.8" thickBot="1" x14ac:dyDescent="0.3">
      <c r="A10" s="40"/>
      <c r="B10" s="231"/>
      <c r="C10" s="197"/>
      <c r="D10" s="197"/>
      <c r="E10" s="197"/>
      <c r="F10" s="197"/>
      <c r="G10" s="168"/>
      <c r="H10" s="197"/>
      <c r="M10" s="169"/>
    </row>
    <row r="11" spans="1:13" ht="16.2" thickBot="1" x14ac:dyDescent="0.3">
      <c r="A11" s="232" t="s">
        <v>117</v>
      </c>
      <c r="B11" s="233" t="s">
        <v>225</v>
      </c>
      <c r="C11" s="286" t="s">
        <v>114</v>
      </c>
      <c r="D11" s="286"/>
      <c r="E11" s="286" t="s">
        <v>115</v>
      </c>
      <c r="F11" s="286"/>
      <c r="G11" s="286" t="s">
        <v>116</v>
      </c>
      <c r="H11" s="286"/>
      <c r="M11" s="169"/>
    </row>
    <row r="12" spans="1:13" x14ac:dyDescent="0.25">
      <c r="A12" s="40"/>
      <c r="B12" s="231"/>
      <c r="C12" s="197"/>
      <c r="D12" s="197"/>
      <c r="E12" s="197"/>
      <c r="F12" s="197"/>
      <c r="G12" s="168"/>
      <c r="H12" s="197"/>
      <c r="M12" s="169"/>
    </row>
    <row r="13" spans="1:13" ht="13.8" thickBot="1" x14ac:dyDescent="0.3">
      <c r="A13" s="82"/>
      <c r="B13" s="82" t="s">
        <v>40</v>
      </c>
      <c r="C13" s="88" t="s">
        <v>41</v>
      </c>
      <c r="D13" s="88" t="s">
        <v>38</v>
      </c>
      <c r="E13" s="88" t="s">
        <v>41</v>
      </c>
      <c r="F13" s="88" t="s">
        <v>38</v>
      </c>
      <c r="G13" s="88" t="s">
        <v>41</v>
      </c>
      <c r="H13" s="88" t="s">
        <v>38</v>
      </c>
      <c r="J13" s="169"/>
      <c r="M13" s="169"/>
    </row>
    <row r="14" spans="1:13" x14ac:dyDescent="0.25">
      <c r="A14" s="287" t="s">
        <v>165</v>
      </c>
      <c r="B14" s="170" t="s">
        <v>120</v>
      </c>
      <c r="C14" s="200">
        <v>5</v>
      </c>
      <c r="D14" s="171"/>
      <c r="E14" s="202">
        <v>5</v>
      </c>
      <c r="F14" s="171"/>
      <c r="G14" s="202">
        <v>5</v>
      </c>
      <c r="H14" s="171"/>
      <c r="J14" s="169"/>
      <c r="L14" s="169"/>
      <c r="M14" s="169"/>
    </row>
    <row r="15" spans="1:13" x14ac:dyDescent="0.25">
      <c r="A15" s="288"/>
      <c r="B15" s="172" t="s">
        <v>95</v>
      </c>
      <c r="C15" s="173">
        <v>6</v>
      </c>
      <c r="D15" s="174"/>
      <c r="E15" s="175">
        <v>6</v>
      </c>
      <c r="F15" s="174"/>
      <c r="G15" s="175">
        <v>6</v>
      </c>
      <c r="H15" s="174"/>
      <c r="J15" s="169"/>
      <c r="L15" s="169"/>
      <c r="M15" s="169"/>
    </row>
    <row r="16" spans="1:13" x14ac:dyDescent="0.25">
      <c r="A16" s="288"/>
      <c r="B16" s="172" t="s">
        <v>121</v>
      </c>
      <c r="C16" s="173">
        <v>4.5</v>
      </c>
      <c r="D16" s="174"/>
      <c r="E16" s="175">
        <v>4.5</v>
      </c>
      <c r="F16" s="174"/>
      <c r="G16" s="175">
        <v>4.5</v>
      </c>
      <c r="H16" s="174"/>
      <c r="J16" s="176"/>
      <c r="L16" s="169"/>
      <c r="M16" s="169"/>
    </row>
    <row r="17" spans="1:15" x14ac:dyDescent="0.25">
      <c r="A17" s="288"/>
      <c r="B17" s="172" t="s">
        <v>33</v>
      </c>
      <c r="C17" s="234">
        <v>2.5</v>
      </c>
      <c r="D17" s="174"/>
      <c r="E17" s="235">
        <v>2.5</v>
      </c>
      <c r="F17" s="174"/>
      <c r="G17" s="235">
        <v>2.5</v>
      </c>
      <c r="H17" s="174"/>
      <c r="J17" s="176"/>
      <c r="L17" s="176"/>
      <c r="M17" s="169"/>
    </row>
    <row r="18" spans="1:15" x14ac:dyDescent="0.25">
      <c r="A18" s="288"/>
      <c r="B18" s="172" t="s">
        <v>122</v>
      </c>
      <c r="C18" s="173">
        <v>1.2500000000000001E-2</v>
      </c>
      <c r="D18" s="183">
        <v>5.0000000000000001E-3</v>
      </c>
      <c r="E18" s="175">
        <v>1.2500000000000001E-2</v>
      </c>
      <c r="F18" s="183">
        <v>5.0000000000000001E-3</v>
      </c>
      <c r="G18" s="175">
        <v>1.2500000000000001E-2</v>
      </c>
      <c r="H18" s="183">
        <v>5.0000000000000001E-3</v>
      </c>
      <c r="I18" s="169"/>
      <c r="K18" s="176"/>
      <c r="L18" s="176"/>
      <c r="M18" s="169"/>
    </row>
    <row r="19" spans="1:15" x14ac:dyDescent="0.25">
      <c r="A19" s="288"/>
      <c r="B19" s="172" t="s">
        <v>123</v>
      </c>
      <c r="C19" s="173">
        <v>0.05</v>
      </c>
      <c r="D19" s="183">
        <v>0.02</v>
      </c>
      <c r="E19" s="175">
        <v>0.05</v>
      </c>
      <c r="F19" s="183">
        <v>0.02</v>
      </c>
      <c r="G19" s="175">
        <v>0.05</v>
      </c>
      <c r="H19" s="183">
        <v>0.02</v>
      </c>
      <c r="I19" s="169"/>
      <c r="K19" s="176"/>
      <c r="L19" s="176"/>
      <c r="M19" s="169"/>
    </row>
    <row r="20" spans="1:15" x14ac:dyDescent="0.25">
      <c r="A20" s="288"/>
      <c r="B20" s="172" t="s">
        <v>164</v>
      </c>
      <c r="C20" s="234">
        <v>2</v>
      </c>
      <c r="D20" s="174"/>
      <c r="E20" s="235">
        <v>4</v>
      </c>
      <c r="F20" s="174"/>
      <c r="G20" s="235">
        <v>7</v>
      </c>
      <c r="H20" s="174"/>
      <c r="I20" s="169"/>
      <c r="K20" s="176"/>
      <c r="L20" s="169"/>
      <c r="M20" s="169"/>
    </row>
    <row r="21" spans="1:15" x14ac:dyDescent="0.25">
      <c r="A21" s="288"/>
      <c r="B21" s="172" t="s">
        <v>0</v>
      </c>
      <c r="C21" s="234">
        <v>2</v>
      </c>
      <c r="D21" s="174"/>
      <c r="E21" s="235">
        <v>6</v>
      </c>
      <c r="F21" s="174"/>
      <c r="G21" s="235">
        <v>10</v>
      </c>
      <c r="H21" s="174"/>
      <c r="I21" s="169"/>
      <c r="K21" s="176"/>
      <c r="L21" s="169"/>
      <c r="M21" s="169"/>
    </row>
    <row r="22" spans="1:15" x14ac:dyDescent="0.25">
      <c r="A22" s="288"/>
      <c r="B22" s="172" t="s">
        <v>118</v>
      </c>
      <c r="C22" s="234">
        <v>1</v>
      </c>
      <c r="D22" s="174"/>
      <c r="E22" s="235">
        <v>1</v>
      </c>
      <c r="F22" s="174"/>
      <c r="G22" s="235">
        <v>1</v>
      </c>
      <c r="H22" s="174"/>
      <c r="I22" s="169"/>
      <c r="K22" s="176"/>
      <c r="L22" s="169"/>
      <c r="M22" s="169"/>
    </row>
    <row r="23" spans="1:15" ht="13.8" thickBot="1" x14ac:dyDescent="0.3">
      <c r="A23" s="289"/>
      <c r="B23" s="177" t="s">
        <v>32</v>
      </c>
      <c r="C23" s="236">
        <v>0.5</v>
      </c>
      <c r="D23" s="194"/>
      <c r="E23" s="237">
        <v>0.5</v>
      </c>
      <c r="F23" s="194"/>
      <c r="G23" s="237">
        <v>0.5</v>
      </c>
      <c r="H23" s="194"/>
      <c r="I23" s="169"/>
      <c r="K23" s="176"/>
      <c r="L23" s="169"/>
      <c r="M23" s="169"/>
    </row>
    <row r="24" spans="1:15" ht="13.8" thickBot="1" x14ac:dyDescent="0.3">
      <c r="A24" s="238"/>
      <c r="B24" s="178"/>
      <c r="C24" s="32"/>
      <c r="D24" s="197"/>
      <c r="E24" s="32"/>
      <c r="F24" s="197"/>
      <c r="G24" s="32"/>
      <c r="H24" s="197"/>
      <c r="I24" s="169"/>
      <c r="L24" s="176"/>
      <c r="M24" s="169"/>
    </row>
    <row r="25" spans="1:15" x14ac:dyDescent="0.25">
      <c r="A25" s="280" t="s">
        <v>139</v>
      </c>
      <c r="B25" s="179" t="s">
        <v>223</v>
      </c>
      <c r="C25" s="239">
        <v>2.8</v>
      </c>
      <c r="D25" s="180">
        <v>2.9166666666666665</v>
      </c>
      <c r="E25" s="239">
        <v>2.8</v>
      </c>
      <c r="F25" s="180">
        <v>2.9166666666666665</v>
      </c>
      <c r="G25" s="240">
        <v>2.8</v>
      </c>
      <c r="H25" s="180">
        <v>2.9166666666666665</v>
      </c>
      <c r="I25" s="169"/>
      <c r="K25" s="176"/>
      <c r="L25" s="176"/>
      <c r="M25" s="176"/>
    </row>
    <row r="26" spans="1:15" x14ac:dyDescent="0.25">
      <c r="A26" s="281"/>
      <c r="B26" s="181" t="s">
        <v>35</v>
      </c>
      <c r="C26" s="241">
        <v>5.1999999999999998E-3</v>
      </c>
      <c r="D26" s="174"/>
      <c r="E26" s="241">
        <v>5.1999999999999998E-3</v>
      </c>
      <c r="F26" s="174"/>
      <c r="G26" s="242">
        <v>5.1999999999999998E-3</v>
      </c>
      <c r="H26" s="174"/>
      <c r="I26" s="169"/>
      <c r="K26" s="176"/>
      <c r="L26" s="176"/>
      <c r="M26" s="169"/>
    </row>
    <row r="27" spans="1:15" x14ac:dyDescent="0.25">
      <c r="A27" s="281"/>
      <c r="B27" s="181" t="s">
        <v>36</v>
      </c>
      <c r="C27" s="243">
        <v>225</v>
      </c>
      <c r="D27" s="182">
        <v>61.714285714285715</v>
      </c>
      <c r="E27" s="243">
        <v>225</v>
      </c>
      <c r="F27" s="182">
        <v>61.714285714285715</v>
      </c>
      <c r="G27" s="244">
        <v>225</v>
      </c>
      <c r="H27" s="182">
        <v>61.714285714285715</v>
      </c>
      <c r="K27" s="176"/>
      <c r="L27" s="176"/>
      <c r="M27" s="169"/>
    </row>
    <row r="28" spans="1:15" x14ac:dyDescent="0.25">
      <c r="A28" s="281"/>
      <c r="B28" s="181" t="s">
        <v>126</v>
      </c>
      <c r="C28" s="173">
        <v>1.0416666666666667</v>
      </c>
      <c r="D28" s="183"/>
      <c r="E28" s="173">
        <v>1.0416666666666667</v>
      </c>
      <c r="F28" s="183"/>
      <c r="G28" s="175">
        <v>1.0416666666666667</v>
      </c>
      <c r="H28" s="183"/>
      <c r="K28" s="176"/>
      <c r="L28" s="176"/>
      <c r="M28" s="169"/>
    </row>
    <row r="29" spans="1:15" x14ac:dyDescent="0.25">
      <c r="A29" s="281"/>
      <c r="B29" s="172" t="s">
        <v>127</v>
      </c>
      <c r="C29" s="173">
        <v>2.0000000226056134</v>
      </c>
      <c r="D29" s="183"/>
      <c r="E29" s="173">
        <v>4.0000000113028067</v>
      </c>
      <c r="F29" s="183"/>
      <c r="G29" s="175">
        <v>7.0000000064587464</v>
      </c>
      <c r="H29" s="183"/>
      <c r="K29" s="176"/>
      <c r="L29" s="176"/>
      <c r="M29" s="169"/>
      <c r="O29" s="228"/>
    </row>
    <row r="30" spans="1:15" x14ac:dyDescent="0.25">
      <c r="A30" s="281"/>
      <c r="B30" s="172" t="s">
        <v>128</v>
      </c>
      <c r="C30" s="173">
        <v>2.5208333333333335</v>
      </c>
      <c r="D30" s="183"/>
      <c r="E30" s="173">
        <v>4.520833333333333</v>
      </c>
      <c r="F30" s="183"/>
      <c r="G30" s="175">
        <v>7.520833333333333</v>
      </c>
      <c r="H30" s="183"/>
      <c r="K30" s="176"/>
      <c r="L30" s="176"/>
      <c r="M30" s="169"/>
    </row>
    <row r="31" spans="1:15" x14ac:dyDescent="0.25">
      <c r="A31" s="281"/>
      <c r="B31" s="181" t="s">
        <v>34</v>
      </c>
      <c r="C31" s="241">
        <v>0.01</v>
      </c>
      <c r="D31" s="174"/>
      <c r="E31" s="241">
        <v>0.01</v>
      </c>
      <c r="F31" s="174"/>
      <c r="G31" s="242">
        <v>0.01</v>
      </c>
      <c r="H31" s="174"/>
      <c r="K31" s="184"/>
      <c r="L31" s="184"/>
      <c r="M31" s="169"/>
    </row>
    <row r="32" spans="1:15" x14ac:dyDescent="0.25">
      <c r="A32" s="281"/>
      <c r="B32" s="181" t="s">
        <v>47</v>
      </c>
      <c r="C32" s="241">
        <v>0.01</v>
      </c>
      <c r="D32" s="174"/>
      <c r="E32" s="241">
        <v>0.01</v>
      </c>
      <c r="F32" s="174"/>
      <c r="G32" s="242">
        <v>0.01</v>
      </c>
      <c r="H32" s="174"/>
      <c r="K32" s="184"/>
      <c r="L32" s="184"/>
      <c r="M32" s="176"/>
    </row>
    <row r="33" spans="1:13" x14ac:dyDescent="0.25">
      <c r="A33" s="281"/>
      <c r="B33" s="185" t="s">
        <v>129</v>
      </c>
      <c r="C33" s="186">
        <v>1.6000000000000001E-4</v>
      </c>
      <c r="D33" s="174"/>
      <c r="E33" s="186">
        <v>3.2000000000000003E-4</v>
      </c>
      <c r="F33" s="174"/>
      <c r="G33" s="187">
        <v>5.5999999999999995E-4</v>
      </c>
      <c r="H33" s="174"/>
      <c r="M33" s="176"/>
    </row>
    <row r="34" spans="1:13" x14ac:dyDescent="0.25">
      <c r="A34" s="281"/>
      <c r="B34" s="185"/>
      <c r="C34" s="188"/>
      <c r="D34" s="174"/>
      <c r="E34" s="188"/>
      <c r="F34" s="174"/>
      <c r="G34" s="189"/>
      <c r="H34" s="174"/>
      <c r="M34" s="176"/>
    </row>
    <row r="35" spans="1:13" x14ac:dyDescent="0.25">
      <c r="A35" s="281"/>
      <c r="B35" s="185" t="s">
        <v>130</v>
      </c>
      <c r="C35" s="186">
        <v>2.0833333333333333E-5</v>
      </c>
      <c r="D35" s="174"/>
      <c r="E35" s="186">
        <v>2.0833333333333333E-5</v>
      </c>
      <c r="F35" s="174"/>
      <c r="G35" s="187">
        <v>2.0833333333333333E-5</v>
      </c>
      <c r="H35" s="174"/>
      <c r="M35" s="184"/>
    </row>
    <row r="36" spans="1:13" x14ac:dyDescent="0.25">
      <c r="A36" s="281"/>
      <c r="B36" s="185" t="s">
        <v>131</v>
      </c>
      <c r="C36" s="245">
        <v>1.9100000000000001E-4</v>
      </c>
      <c r="D36" s="174"/>
      <c r="E36" s="245">
        <v>5.6700000000000001E-4</v>
      </c>
      <c r="F36" s="174"/>
      <c r="G36" s="246">
        <v>1.0369999999999999E-3</v>
      </c>
      <c r="H36" s="174"/>
      <c r="K36" s="169"/>
      <c r="M36" s="184"/>
    </row>
    <row r="37" spans="1:13" x14ac:dyDescent="0.25">
      <c r="A37" s="281"/>
      <c r="B37" s="185" t="s">
        <v>132</v>
      </c>
      <c r="C37" s="186">
        <v>1.152063492063492E-4</v>
      </c>
      <c r="D37" s="174"/>
      <c r="E37" s="186">
        <v>3.4199999999999996E-4</v>
      </c>
      <c r="F37" s="174"/>
      <c r="G37" s="187">
        <v>6.2549206349206345E-4</v>
      </c>
      <c r="H37" s="174"/>
      <c r="K37" s="169"/>
      <c r="M37" s="184"/>
    </row>
    <row r="38" spans="1:13" x14ac:dyDescent="0.25">
      <c r="A38" s="281"/>
      <c r="B38" s="185" t="s">
        <v>133</v>
      </c>
      <c r="C38" s="190">
        <v>1.2E-2</v>
      </c>
      <c r="D38" s="174"/>
      <c r="E38" s="190">
        <v>1.2E-2</v>
      </c>
      <c r="F38" s="174"/>
      <c r="G38" s="191">
        <v>1.2E-2</v>
      </c>
      <c r="H38" s="174"/>
      <c r="K38" s="169"/>
      <c r="M38" s="184"/>
    </row>
    <row r="39" spans="1:13" x14ac:dyDescent="0.25">
      <c r="A39" s="281"/>
      <c r="B39" s="185" t="s">
        <v>134</v>
      </c>
      <c r="C39" s="234">
        <v>5.0000000000000001E-3</v>
      </c>
      <c r="D39" s="174"/>
      <c r="E39" s="234">
        <v>4.0000000000000001E-3</v>
      </c>
      <c r="F39" s="174"/>
      <c r="G39" s="235">
        <v>4.0000000000000001E-3</v>
      </c>
      <c r="H39" s="174"/>
      <c r="K39" s="169"/>
      <c r="M39" s="184"/>
    </row>
    <row r="40" spans="1:13" x14ac:dyDescent="0.25">
      <c r="A40" s="281"/>
      <c r="B40" s="185" t="s">
        <v>135</v>
      </c>
      <c r="C40" s="190">
        <v>0.30070326520293011</v>
      </c>
      <c r="D40" s="174"/>
      <c r="E40" s="190">
        <v>0.30070326520293011</v>
      </c>
      <c r="F40" s="174"/>
      <c r="G40" s="191">
        <v>0.30070326520293011</v>
      </c>
      <c r="H40" s="174"/>
      <c r="K40" s="169"/>
      <c r="M40" s="184"/>
    </row>
    <row r="41" spans="1:13" x14ac:dyDescent="0.25">
      <c r="A41" s="281"/>
      <c r="B41" s="185" t="s">
        <v>136</v>
      </c>
      <c r="C41" s="190">
        <v>0.9938079899999066</v>
      </c>
      <c r="D41" s="174"/>
      <c r="E41" s="190">
        <v>1.9876159799998132</v>
      </c>
      <c r="F41" s="174"/>
      <c r="G41" s="191">
        <v>3.4783279649996732</v>
      </c>
      <c r="H41" s="174"/>
      <c r="K41" s="169"/>
      <c r="M41" s="184"/>
    </row>
    <row r="42" spans="1:13" x14ac:dyDescent="0.25">
      <c r="A42" s="281"/>
      <c r="B42" s="185" t="s">
        <v>137</v>
      </c>
      <c r="C42" s="245">
        <v>5.2599999999999999E-4</v>
      </c>
      <c r="D42" s="174"/>
      <c r="E42" s="245">
        <v>8.5599999999999999E-4</v>
      </c>
      <c r="F42" s="174"/>
      <c r="G42" s="246">
        <v>1.186E-3</v>
      </c>
      <c r="H42" s="174"/>
      <c r="K42" s="169"/>
      <c r="M42" s="184"/>
    </row>
    <row r="43" spans="1:13" ht="13.8" thickBot="1" x14ac:dyDescent="0.3">
      <c r="A43" s="282"/>
      <c r="B43" s="192" t="s">
        <v>138</v>
      </c>
      <c r="C43" s="193">
        <v>1.9011406844106464</v>
      </c>
      <c r="D43" s="194"/>
      <c r="E43" s="193">
        <v>2.3364485981308412</v>
      </c>
      <c r="F43" s="194"/>
      <c r="G43" s="195">
        <v>2.9510961214165263</v>
      </c>
      <c r="H43" s="194"/>
      <c r="K43" s="169"/>
      <c r="M43" s="184"/>
    </row>
    <row r="44" spans="1:13" ht="13.8" thickBot="1" x14ac:dyDescent="0.3">
      <c r="A44" s="238"/>
      <c r="B44" s="196"/>
      <c r="C44" s="32"/>
      <c r="D44" s="197"/>
      <c r="E44" s="32"/>
      <c r="F44" s="197"/>
      <c r="G44" s="32"/>
      <c r="H44" s="197"/>
      <c r="K44" s="169"/>
      <c r="M44" s="184"/>
    </row>
    <row r="45" spans="1:13" x14ac:dyDescent="0.25">
      <c r="A45" s="283" t="s">
        <v>63</v>
      </c>
      <c r="B45" s="170" t="s">
        <v>187</v>
      </c>
      <c r="C45" s="247">
        <v>15</v>
      </c>
      <c r="D45" s="198">
        <v>15</v>
      </c>
      <c r="E45" s="248">
        <v>15</v>
      </c>
      <c r="F45" s="198">
        <v>15</v>
      </c>
      <c r="G45" s="248">
        <v>15</v>
      </c>
      <c r="H45" s="198">
        <v>15</v>
      </c>
      <c r="K45" s="169"/>
      <c r="M45" s="184"/>
    </row>
    <row r="46" spans="1:13" ht="13.8" thickBot="1" x14ac:dyDescent="0.3">
      <c r="A46" s="284"/>
      <c r="B46" s="177" t="s">
        <v>188</v>
      </c>
      <c r="C46" s="249">
        <v>10</v>
      </c>
      <c r="D46" s="199">
        <v>10</v>
      </c>
      <c r="E46" s="250">
        <v>10</v>
      </c>
      <c r="F46" s="199">
        <v>10</v>
      </c>
      <c r="G46" s="250">
        <v>10</v>
      </c>
      <c r="H46" s="199">
        <v>10</v>
      </c>
      <c r="K46" s="169"/>
      <c r="M46" s="184"/>
    </row>
    <row r="47" spans="1:13" ht="13.8" thickBot="1" x14ac:dyDescent="0.3">
      <c r="A47" s="238"/>
      <c r="B47" s="196"/>
      <c r="C47" s="32"/>
      <c r="D47" s="40"/>
      <c r="E47" s="32"/>
      <c r="F47" s="40"/>
      <c r="G47" s="32"/>
      <c r="H47" s="40"/>
      <c r="K47" s="169"/>
      <c r="M47" s="184"/>
    </row>
    <row r="48" spans="1:13" x14ac:dyDescent="0.25">
      <c r="A48" s="290" t="s">
        <v>198</v>
      </c>
      <c r="B48" s="179" t="s">
        <v>119</v>
      </c>
      <c r="C48" s="200">
        <v>4.0000000000000001E-3</v>
      </c>
      <c r="D48" s="201"/>
      <c r="E48" s="202">
        <v>4.0000000000000001E-3</v>
      </c>
      <c r="F48" s="201"/>
      <c r="G48" s="202">
        <v>4.0000000000000001E-3</v>
      </c>
      <c r="H48" s="201"/>
      <c r="K48" s="169"/>
      <c r="M48" s="184"/>
    </row>
    <row r="49" spans="1:13" ht="13.8" thickBot="1" x14ac:dyDescent="0.3">
      <c r="A49" s="291"/>
      <c r="B49" s="203" t="s">
        <v>185</v>
      </c>
      <c r="C49" s="251">
        <v>1E-8</v>
      </c>
      <c r="D49" s="204">
        <v>8.8961612173968714E-9</v>
      </c>
      <c r="E49" s="252">
        <v>1E-8</v>
      </c>
      <c r="F49" s="204">
        <v>8.8961612173968714E-9</v>
      </c>
      <c r="G49" s="252">
        <v>1E-8</v>
      </c>
      <c r="H49" s="204">
        <v>8.8961612173968714E-9</v>
      </c>
      <c r="K49" s="169"/>
      <c r="M49" s="184"/>
    </row>
    <row r="50" spans="1:13" ht="13.8" thickBot="1" x14ac:dyDescent="0.3">
      <c r="A50" s="253"/>
      <c r="B50" s="196"/>
      <c r="C50" s="31"/>
      <c r="D50" s="31"/>
      <c r="E50" s="31"/>
      <c r="F50" s="31"/>
      <c r="G50" s="31"/>
      <c r="H50" s="31"/>
      <c r="K50" s="169"/>
      <c r="M50" s="184"/>
    </row>
    <row r="51" spans="1:13" x14ac:dyDescent="0.25">
      <c r="A51" s="292" t="s">
        <v>64</v>
      </c>
      <c r="B51" s="179" t="s">
        <v>62</v>
      </c>
      <c r="C51" s="254">
        <v>1</v>
      </c>
      <c r="D51" s="198">
        <v>1</v>
      </c>
      <c r="E51" s="255">
        <v>1.3</v>
      </c>
      <c r="F51" s="198">
        <v>1</v>
      </c>
      <c r="G51" s="255">
        <v>1.3</v>
      </c>
      <c r="H51" s="198">
        <v>1</v>
      </c>
      <c r="K51" s="169"/>
      <c r="M51" s="176"/>
    </row>
    <row r="52" spans="1:13" x14ac:dyDescent="0.25">
      <c r="A52" s="293"/>
      <c r="B52" s="181"/>
      <c r="C52" s="243"/>
      <c r="D52" s="182"/>
      <c r="E52" s="244"/>
      <c r="F52" s="182"/>
      <c r="G52" s="244"/>
      <c r="H52" s="182"/>
      <c r="K52" s="169"/>
      <c r="M52" s="176"/>
    </row>
    <row r="53" spans="1:13" ht="13.8" thickBot="1" x14ac:dyDescent="0.3">
      <c r="A53" s="294"/>
      <c r="B53" s="177" t="s">
        <v>140</v>
      </c>
      <c r="C53" s="256">
        <v>47</v>
      </c>
      <c r="D53" s="257">
        <v>45.600000000000009</v>
      </c>
      <c r="E53" s="258">
        <v>100</v>
      </c>
      <c r="F53" s="257">
        <v>100.44755244755244</v>
      </c>
      <c r="G53" s="258">
        <v>150</v>
      </c>
      <c r="H53" s="257">
        <v>167.41258741258741</v>
      </c>
      <c r="K53" s="169"/>
      <c r="M53" s="176"/>
    </row>
    <row r="54" spans="1:13" ht="13.8" thickBot="1" x14ac:dyDescent="0.3">
      <c r="A54" s="259"/>
      <c r="B54" s="196"/>
      <c r="C54" s="31"/>
      <c r="D54" s="31"/>
      <c r="E54" s="31"/>
      <c r="F54" s="31"/>
      <c r="G54" s="31"/>
      <c r="H54" s="31"/>
      <c r="K54" s="169"/>
      <c r="M54" s="184"/>
    </row>
    <row r="55" spans="1:13" x14ac:dyDescent="0.25">
      <c r="A55" s="295" t="s">
        <v>169</v>
      </c>
      <c r="B55" s="205" t="s">
        <v>186</v>
      </c>
      <c r="C55" s="260">
        <v>140</v>
      </c>
      <c r="D55" s="206">
        <v>141.30014070786882</v>
      </c>
      <c r="E55" s="261">
        <v>82</v>
      </c>
      <c r="F55" s="207">
        <v>84.600041211621686</v>
      </c>
      <c r="G55" s="261">
        <v>56</v>
      </c>
      <c r="H55" s="207">
        <v>57.300876601483473</v>
      </c>
      <c r="K55" s="169"/>
      <c r="M55" s="184"/>
    </row>
    <row r="56" spans="1:13" ht="13.8" thickBot="1" x14ac:dyDescent="0.3">
      <c r="A56" s="296"/>
      <c r="B56" s="192" t="s">
        <v>144</v>
      </c>
      <c r="C56" s="208">
        <v>2.2857142857142856</v>
      </c>
      <c r="D56" s="209"/>
      <c r="E56" s="210">
        <v>5.2439024390243905</v>
      </c>
      <c r="F56" s="211"/>
      <c r="G56" s="210">
        <v>7.9464285714285712</v>
      </c>
      <c r="H56" s="211"/>
      <c r="K56" s="169"/>
      <c r="M56" s="184"/>
    </row>
    <row r="57" spans="1:13" ht="13.8" thickBot="1" x14ac:dyDescent="0.3">
      <c r="A57" s="197"/>
      <c r="B57" s="197"/>
      <c r="C57" s="197"/>
      <c r="D57" s="197"/>
      <c r="E57" s="197"/>
      <c r="F57" s="197"/>
      <c r="G57" s="197"/>
      <c r="H57" s="197"/>
      <c r="K57" s="169"/>
      <c r="M57" s="176"/>
    </row>
    <row r="58" spans="1:13" x14ac:dyDescent="0.25">
      <c r="A58" s="297" t="s">
        <v>160</v>
      </c>
      <c r="B58" s="212" t="s">
        <v>145</v>
      </c>
      <c r="C58" s="213">
        <v>1.1051817486678872</v>
      </c>
      <c r="D58" s="214"/>
      <c r="E58" s="143">
        <v>0.74458452908489059</v>
      </c>
      <c r="F58" s="214"/>
      <c r="G58" s="143">
        <v>0.71245322949323309</v>
      </c>
      <c r="H58" s="214"/>
    </row>
    <row r="59" spans="1:13" x14ac:dyDescent="0.25">
      <c r="A59" s="298"/>
      <c r="B59" s="215" t="s">
        <v>146</v>
      </c>
      <c r="C59" s="216">
        <v>276.29543716697179</v>
      </c>
      <c r="D59" s="217"/>
      <c r="E59" s="218">
        <v>116.34133266951416</v>
      </c>
      <c r="F59" s="217"/>
      <c r="G59" s="218">
        <v>63.611895490467219</v>
      </c>
      <c r="H59" s="217"/>
    </row>
    <row r="60" spans="1:13" x14ac:dyDescent="0.25">
      <c r="A60" s="298"/>
      <c r="B60" s="215" t="s">
        <v>147</v>
      </c>
      <c r="C60" s="216">
        <v>17.474457771191421</v>
      </c>
      <c r="D60" s="217"/>
      <c r="E60" s="218">
        <v>9.3073066135611331</v>
      </c>
      <c r="F60" s="217"/>
      <c r="G60" s="218">
        <v>6.7320502357282956</v>
      </c>
      <c r="H60" s="217"/>
    </row>
    <row r="61" spans="1:13" x14ac:dyDescent="0.25">
      <c r="A61" s="298"/>
      <c r="B61" s="215" t="s">
        <v>148</v>
      </c>
      <c r="C61" s="216">
        <v>16.62213696150323</v>
      </c>
      <c r="D61" s="217"/>
      <c r="E61" s="218">
        <v>13.643538114111847</v>
      </c>
      <c r="F61" s="217"/>
      <c r="G61" s="218">
        <v>13.345909761919877</v>
      </c>
      <c r="H61" s="217"/>
    </row>
    <row r="62" spans="1:13" x14ac:dyDescent="0.25">
      <c r="A62" s="298"/>
      <c r="B62" s="215" t="s">
        <v>149</v>
      </c>
      <c r="C62" s="216">
        <v>16.62213696150323</v>
      </c>
      <c r="D62" s="217"/>
      <c r="E62" s="218">
        <v>9.3073066135611331</v>
      </c>
      <c r="F62" s="217"/>
      <c r="G62" s="218">
        <v>6.7320502357282956</v>
      </c>
      <c r="H62" s="217"/>
    </row>
    <row r="63" spans="1:13" x14ac:dyDescent="0.25">
      <c r="A63" s="298"/>
      <c r="B63" s="215" t="s">
        <v>150</v>
      </c>
      <c r="C63" s="262">
        <v>50</v>
      </c>
      <c r="D63" s="217"/>
      <c r="E63" s="263">
        <v>50</v>
      </c>
      <c r="F63" s="217"/>
      <c r="G63" s="263">
        <v>50</v>
      </c>
      <c r="H63" s="217"/>
    </row>
    <row r="64" spans="1:13" x14ac:dyDescent="0.25">
      <c r="A64" s="298"/>
      <c r="B64" s="219" t="s">
        <v>189</v>
      </c>
      <c r="C64" s="264">
        <v>27</v>
      </c>
      <c r="D64" s="220">
        <v>30.450960843689533</v>
      </c>
      <c r="E64" s="265">
        <v>36</v>
      </c>
      <c r="F64" s="220">
        <v>39.401978701821179</v>
      </c>
      <c r="G64" s="265">
        <v>47</v>
      </c>
      <c r="H64" s="220">
        <v>47.555017807494245</v>
      </c>
    </row>
    <row r="65" spans="1:8" x14ac:dyDescent="0.25">
      <c r="A65" s="298"/>
      <c r="B65" s="219" t="s">
        <v>190</v>
      </c>
      <c r="C65" s="245">
        <v>5.5999999999999997E-9</v>
      </c>
      <c r="D65" s="221">
        <v>5.3336272780717218E-9</v>
      </c>
      <c r="E65" s="246">
        <v>5.5999999999999997E-9</v>
      </c>
      <c r="F65" s="221">
        <v>5.9374999999999986E-9</v>
      </c>
      <c r="G65" s="246">
        <v>4.6999999999999999E-9</v>
      </c>
      <c r="H65" s="221">
        <v>4.7529792058667434E-9</v>
      </c>
    </row>
    <row r="66" spans="1:8" x14ac:dyDescent="0.25">
      <c r="A66" s="298"/>
      <c r="B66" s="215" t="s">
        <v>153</v>
      </c>
      <c r="C66" s="275" t="s">
        <v>227</v>
      </c>
      <c r="D66" s="276" t="s">
        <v>232</v>
      </c>
      <c r="E66" s="277" t="s">
        <v>227</v>
      </c>
      <c r="F66" s="276" t="s">
        <v>232</v>
      </c>
      <c r="G66" s="277" t="s">
        <v>227</v>
      </c>
      <c r="H66" s="276" t="s">
        <v>232</v>
      </c>
    </row>
    <row r="67" spans="1:8" ht="13.8" thickBot="1" x14ac:dyDescent="0.3">
      <c r="A67" s="299"/>
      <c r="B67" s="222" t="s">
        <v>231</v>
      </c>
      <c r="C67" s="251">
        <v>2.2000000000000002E-11</v>
      </c>
      <c r="D67" s="223">
        <v>2.1334509112286887E-11</v>
      </c>
      <c r="E67" s="252">
        <v>3.9000000000000001E-11</v>
      </c>
      <c r="F67" s="223">
        <v>3.7999999999999998E-11</v>
      </c>
      <c r="G67" s="252">
        <v>5.6E-11</v>
      </c>
      <c r="H67" s="223">
        <v>5.3233367105707529E-11</v>
      </c>
    </row>
    <row r="68" spans="1:8" ht="13.8" thickBot="1" x14ac:dyDescent="0.3">
      <c r="A68" s="169"/>
      <c r="B68" s="197"/>
      <c r="C68" s="266"/>
      <c r="D68" s="197"/>
      <c r="E68" s="266"/>
      <c r="F68" s="197"/>
      <c r="G68" s="266"/>
      <c r="H68" s="197"/>
    </row>
    <row r="69" spans="1:8" x14ac:dyDescent="0.25">
      <c r="A69" s="300" t="s">
        <v>167</v>
      </c>
      <c r="B69" s="212" t="s">
        <v>155</v>
      </c>
      <c r="C69" s="213">
        <v>2.8571428571428568</v>
      </c>
      <c r="D69" s="224"/>
      <c r="E69" s="143">
        <v>3.2774390243902438</v>
      </c>
      <c r="F69" s="224"/>
      <c r="G69" s="143">
        <v>2.8380102040816326</v>
      </c>
      <c r="H69" s="224"/>
    </row>
    <row r="70" spans="1:8" x14ac:dyDescent="0.25">
      <c r="A70" s="301"/>
      <c r="B70" s="215" t="s">
        <v>156</v>
      </c>
      <c r="C70" s="216">
        <v>1.1051817486678872</v>
      </c>
      <c r="D70" s="217"/>
      <c r="E70" s="218">
        <v>0.74458452908489059</v>
      </c>
      <c r="F70" s="217"/>
      <c r="G70" s="218">
        <v>0.71245322949323298</v>
      </c>
      <c r="H70" s="217"/>
    </row>
    <row r="71" spans="1:8" x14ac:dyDescent="0.25">
      <c r="A71" s="301"/>
      <c r="B71" s="215" t="s">
        <v>157</v>
      </c>
      <c r="C71" s="216">
        <v>276.29543716697179</v>
      </c>
      <c r="D71" s="217"/>
      <c r="E71" s="218">
        <v>116.34133266951416</v>
      </c>
      <c r="F71" s="217"/>
      <c r="G71" s="218">
        <v>63.611895490467219</v>
      </c>
      <c r="H71" s="217"/>
    </row>
    <row r="72" spans="1:8" x14ac:dyDescent="0.25">
      <c r="A72" s="301"/>
      <c r="B72" s="215" t="s">
        <v>150</v>
      </c>
      <c r="C72" s="262">
        <v>75</v>
      </c>
      <c r="D72" s="217"/>
      <c r="E72" s="263">
        <v>75</v>
      </c>
      <c r="F72" s="217"/>
      <c r="G72" s="263">
        <v>75</v>
      </c>
      <c r="H72" s="217"/>
    </row>
    <row r="73" spans="1:8" x14ac:dyDescent="0.25">
      <c r="A73" s="301"/>
      <c r="B73" s="215"/>
      <c r="C73" s="262"/>
      <c r="D73" s="217"/>
      <c r="E73" s="263"/>
      <c r="F73" s="217"/>
      <c r="G73" s="263"/>
      <c r="H73" s="217"/>
    </row>
    <row r="74" spans="1:8" x14ac:dyDescent="0.25">
      <c r="A74" s="301"/>
      <c r="B74" s="219" t="s">
        <v>189</v>
      </c>
      <c r="C74" s="264">
        <v>39</v>
      </c>
      <c r="D74" s="220">
        <v>45.676441265534294</v>
      </c>
      <c r="E74" s="265">
        <v>56</v>
      </c>
      <c r="F74" s="220">
        <v>59.102968052731768</v>
      </c>
      <c r="G74" s="265">
        <v>68</v>
      </c>
      <c r="H74" s="220">
        <v>71.332526711241357</v>
      </c>
    </row>
    <row r="75" spans="1:8" x14ac:dyDescent="0.25">
      <c r="A75" s="301"/>
      <c r="B75" s="219" t="s">
        <v>190</v>
      </c>
      <c r="C75" s="245">
        <v>3.9000000000000002E-9</v>
      </c>
      <c r="D75" s="221">
        <v>3.6925111925111924E-9</v>
      </c>
      <c r="E75" s="246">
        <v>3.3000000000000002E-9</v>
      </c>
      <c r="F75" s="221">
        <v>3.8169642857142853E-9</v>
      </c>
      <c r="G75" s="246">
        <v>3.3000000000000002E-9</v>
      </c>
      <c r="H75" s="221">
        <v>3.2851473922902494E-9</v>
      </c>
    </row>
    <row r="76" spans="1:8" x14ac:dyDescent="0.25">
      <c r="A76" s="301"/>
      <c r="B76" s="215" t="s">
        <v>153</v>
      </c>
      <c r="C76" s="275" t="s">
        <v>227</v>
      </c>
      <c r="D76" s="278" t="s">
        <v>232</v>
      </c>
      <c r="E76" s="277" t="s">
        <v>227</v>
      </c>
      <c r="F76" s="278" t="s">
        <v>232</v>
      </c>
      <c r="G76" s="277" t="s">
        <v>227</v>
      </c>
      <c r="H76" s="278" t="s">
        <v>232</v>
      </c>
    </row>
    <row r="77" spans="1:8" x14ac:dyDescent="0.25">
      <c r="A77" s="301"/>
      <c r="B77" s="225" t="s">
        <v>230</v>
      </c>
      <c r="C77" s="245">
        <v>1.2000000000000001E-11</v>
      </c>
      <c r="D77" s="221">
        <v>1.477004477004477E-11</v>
      </c>
      <c r="E77" s="246">
        <v>2.7E-11</v>
      </c>
      <c r="F77" s="221">
        <v>2.4428571428571425E-11</v>
      </c>
      <c r="G77" s="246">
        <v>3.9000000000000001E-11</v>
      </c>
      <c r="H77" s="221">
        <v>3.6793650793650792E-11</v>
      </c>
    </row>
    <row r="78" spans="1:8" ht="16.2" thickBot="1" x14ac:dyDescent="0.4">
      <c r="A78" s="302"/>
      <c r="B78" s="222" t="s">
        <v>192</v>
      </c>
      <c r="C78" s="267">
        <v>1.5E-10</v>
      </c>
      <c r="D78" s="226">
        <v>1.4147106052612923E-10</v>
      </c>
      <c r="E78" s="268">
        <v>1.5E-10</v>
      </c>
      <c r="F78" s="226">
        <v>1.4147106052612923E-10</v>
      </c>
      <c r="G78" s="268">
        <v>1.5E-10</v>
      </c>
      <c r="H78" s="226">
        <v>1.4147106052612923E-10</v>
      </c>
    </row>
    <row r="80" spans="1:8" x14ac:dyDescent="0.25">
      <c r="B80" s="227"/>
      <c r="C80" s="32"/>
      <c r="D80" s="197"/>
    </row>
  </sheetData>
  <sheetProtection password="E0F9" sheet="1" objects="1" scenarios="1"/>
  <mergeCells count="12">
    <mergeCell ref="A48:A49"/>
    <mergeCell ref="A51:A53"/>
    <mergeCell ref="A55:A56"/>
    <mergeCell ref="A58:A67"/>
    <mergeCell ref="A69:A78"/>
    <mergeCell ref="A25:A43"/>
    <mergeCell ref="A45:A46"/>
    <mergeCell ref="C9:H9"/>
    <mergeCell ref="C11:D11"/>
    <mergeCell ref="E11:F11"/>
    <mergeCell ref="G11:H11"/>
    <mergeCell ref="A14:A23"/>
  </mergeCells>
  <conditionalFormatting sqref="G51">
    <cfRule type="cellIs" dxfId="30" priority="1" stopIfTrue="1" operator="lessThan">
      <formula>0.5</formula>
    </cfRule>
  </conditionalFormatting>
  <conditionalFormatting sqref="C17">
    <cfRule type="cellIs" dxfId="29" priority="16" stopIfTrue="1" operator="notBetween">
      <formula>1</formula>
      <formula>3.6</formula>
    </cfRule>
  </conditionalFormatting>
  <conditionalFormatting sqref="C14">
    <cfRule type="cellIs" dxfId="28" priority="15" stopIfTrue="1" operator="notBetween">
      <formula>4.5</formula>
      <formula>5.5</formula>
    </cfRule>
  </conditionalFormatting>
  <conditionalFormatting sqref="C23">
    <cfRule type="cellIs" dxfId="27" priority="14" stopIfTrue="1" operator="notBetween">
      <formula>0.1</formula>
      <formula>5</formula>
    </cfRule>
  </conditionalFormatting>
  <conditionalFormatting sqref="C51">
    <cfRule type="cellIs" dxfId="26" priority="13" stopIfTrue="1" operator="lessThan">
      <formula>0.5</formula>
    </cfRule>
  </conditionalFormatting>
  <conditionalFormatting sqref="E17">
    <cfRule type="cellIs" dxfId="25" priority="10" stopIfTrue="1" operator="notBetween">
      <formula>1</formula>
      <formula>3.6</formula>
    </cfRule>
  </conditionalFormatting>
  <conditionalFormatting sqref="E14">
    <cfRule type="cellIs" dxfId="24" priority="9" stopIfTrue="1" operator="notBetween">
      <formula>4.5</formula>
      <formula>5.5</formula>
    </cfRule>
  </conditionalFormatting>
  <conditionalFormatting sqref="E23">
    <cfRule type="cellIs" dxfId="23" priority="8" stopIfTrue="1" operator="notBetween">
      <formula>0.1</formula>
      <formula>5</formula>
    </cfRule>
  </conditionalFormatting>
  <conditionalFormatting sqref="E51">
    <cfRule type="cellIs" dxfId="22" priority="7" stopIfTrue="1" operator="lessThan">
      <formula>0.5</formula>
    </cfRule>
  </conditionalFormatting>
  <conditionalFormatting sqref="G17">
    <cfRule type="cellIs" dxfId="21" priority="4" stopIfTrue="1" operator="notBetween">
      <formula>1</formula>
      <formula>3.6</formula>
    </cfRule>
  </conditionalFormatting>
  <conditionalFormatting sqref="G14">
    <cfRule type="cellIs" dxfId="20" priority="3" stopIfTrue="1" operator="notBetween">
      <formula>4.5</formula>
      <formula>5.5</formula>
    </cfRule>
  </conditionalFormatting>
  <conditionalFormatting sqref="G23">
    <cfRule type="cellIs" dxfId="19" priority="2" stopIfTrue="1" operator="notBetween">
      <formula>0.1</formula>
      <formula>5</formula>
    </cfRule>
  </conditionalFormatting>
  <pageMargins left="0.7" right="0.7" top="0.75" bottom="0.75" header="0.3" footer="0.3"/>
  <pageSetup orientation="portrait" horizontalDpi="200" verticalDpi="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7" stopIfTrue="1" operator="greaterThan" id="{B6C614B8-DA7D-439B-8FE4-F14DF6B4A9A3}">
            <xm:f>LOOKUP($C$11,data!#REF!,data!#REF!)</xm:f>
            <x14:dxf>
              <fill>
                <patternFill>
                  <bgColor rgb="FFFF0000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cellIs" priority="18" operator="greaterThan" id="{EBFAB59B-5E36-49D2-BB29-96B998E371AD}">
            <xm:f>LOOKUP($C$11,data!#REF!,data!#REF!)</xm:f>
            <x14:dxf>
              <fill>
                <patternFill>
                  <bgColor rgb="FFFF0000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type="cellIs" priority="11" stopIfTrue="1" operator="greaterThan" id="{F878DBC3-E41C-4DCB-96C9-ED80D99E116D}">
            <xm:f>LOOKUP($C$11,data!#REF!,data!#REF!)</xm:f>
            <x14:dxf>
              <fill>
                <patternFill>
                  <bgColor rgb="FFFF0000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ellIs" priority="12" operator="greaterThan" id="{E03587FA-6A8F-4D7A-BA50-D13C40850F0A}">
            <xm:f>LOOKUP($C$11,data!#REF!,data!#REF!)</xm:f>
            <x14:dxf>
              <fill>
                <patternFill>
                  <bgColor rgb="FFFF0000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cellIs" priority="5" stopIfTrue="1" operator="greaterThan" id="{8792AFB9-0FB4-4F5B-A7AB-80B5AD5EF2F2}">
            <xm:f>LOOKUP($C$11,data!#REF!,data!#REF!)</xm:f>
            <x14:dxf>
              <fill>
                <patternFill>
                  <bgColor rgb="FFFF0000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ellIs" priority="6" operator="greaterThan" id="{C9BC77C5-5D7A-4CBA-AF79-9F42000D8BDD}">
            <xm:f>LOOKUP($C$11,data!#REF!,data!#REF!)</xm:f>
            <x14:dxf>
              <fill>
                <patternFill>
                  <bgColor rgb="FFFF0000"/>
                </patternFill>
              </fill>
            </x14:dxf>
          </x14:cfRule>
          <xm:sqref>G20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zoomScale="85" zoomScaleNormal="85" workbookViewId="0">
      <selection activeCell="A4" sqref="A4"/>
    </sheetView>
  </sheetViews>
  <sheetFormatPr defaultColWidth="9.109375" defaultRowHeight="13.2" x14ac:dyDescent="0.25"/>
  <cols>
    <col min="1" max="1" width="17.109375" style="1" customWidth="1"/>
    <col min="2" max="2" width="32.109375" style="22" customWidth="1"/>
    <col min="3" max="3" width="13.109375" style="1" bestFit="1" customWidth="1"/>
    <col min="4" max="4" width="12.33203125" style="1" bestFit="1" customWidth="1"/>
    <col min="5" max="8" width="9.109375" style="1"/>
    <col min="9" max="9" width="10.6640625" style="1" customWidth="1"/>
    <col min="10" max="12" width="9.109375" style="1"/>
    <col min="13" max="13" width="9.109375" style="1" customWidth="1"/>
    <col min="14" max="17" width="9.109375" style="1"/>
    <col min="18" max="18" width="9.109375" style="1" customWidth="1"/>
    <col min="19" max="19" width="9.109375" style="1"/>
    <col min="20" max="22" width="9.109375" style="1" customWidth="1"/>
    <col min="23" max="16384" width="9.109375" style="1"/>
  </cols>
  <sheetData>
    <row r="1" spans="1:19" x14ac:dyDescent="0.25">
      <c r="B1" s="37" t="s">
        <v>52</v>
      </c>
      <c r="C1" s="38"/>
      <c r="D1" s="38"/>
    </row>
    <row r="4" spans="1:19" x14ac:dyDescent="0.25">
      <c r="A4" s="1" t="s">
        <v>53</v>
      </c>
    </row>
    <row r="5" spans="1:19" x14ac:dyDescent="0.25">
      <c r="A5" s="29"/>
      <c r="B5" s="30"/>
      <c r="M5" s="77" t="s">
        <v>154</v>
      </c>
      <c r="S5" s="87"/>
    </row>
    <row r="6" spans="1:19" ht="13.8" thickBot="1" x14ac:dyDescent="0.3">
      <c r="A6" s="29"/>
      <c r="B6" s="30"/>
      <c r="M6" s="78" t="s">
        <v>114</v>
      </c>
      <c r="S6" s="66"/>
    </row>
    <row r="7" spans="1:19" ht="13.8" thickBot="1" x14ac:dyDescent="0.3">
      <c r="A7" s="65" t="s">
        <v>117</v>
      </c>
      <c r="B7" s="269" t="s">
        <v>116</v>
      </c>
      <c r="M7" s="78" t="s">
        <v>115</v>
      </c>
      <c r="S7" s="66"/>
    </row>
    <row r="8" spans="1:19" x14ac:dyDescent="0.25">
      <c r="A8" s="29"/>
      <c r="B8" s="30"/>
      <c r="M8" s="78" t="s">
        <v>116</v>
      </c>
      <c r="S8" s="66"/>
    </row>
    <row r="9" spans="1:19" ht="13.8" thickBot="1" x14ac:dyDescent="0.3">
      <c r="A9" s="81"/>
      <c r="B9" s="82" t="s">
        <v>40</v>
      </c>
      <c r="C9" s="88" t="s">
        <v>41</v>
      </c>
      <c r="D9" s="88" t="s">
        <v>38</v>
      </c>
      <c r="E9" s="88" t="s">
        <v>39</v>
      </c>
      <c r="F9" s="104"/>
      <c r="G9" s="104"/>
      <c r="H9" s="104"/>
      <c r="I9" s="104"/>
      <c r="J9" s="104"/>
      <c r="P9" s="66"/>
      <c r="S9" s="66"/>
    </row>
    <row r="10" spans="1:19" x14ac:dyDescent="0.25">
      <c r="A10" s="306" t="s">
        <v>165</v>
      </c>
      <c r="B10" s="105" t="s">
        <v>120</v>
      </c>
      <c r="C10" s="108">
        <v>5</v>
      </c>
      <c r="D10" s="112"/>
      <c r="E10" s="3" t="str">
        <f>IF(OR(C10&lt;4.5,  C10 &gt; 5.5), "Outside the recommended operating range (4.5 to 5.5V).","Nominal input voltage.")</f>
        <v>Nominal input voltage.</v>
      </c>
      <c r="F10" s="33"/>
      <c r="G10" s="33"/>
      <c r="H10" s="33"/>
      <c r="I10" s="33"/>
      <c r="J10" s="19"/>
      <c r="P10" s="66"/>
      <c r="R10" s="66"/>
      <c r="S10" s="66"/>
    </row>
    <row r="11" spans="1:19" x14ac:dyDescent="0.25">
      <c r="A11" s="307"/>
      <c r="B11" s="106" t="s">
        <v>95</v>
      </c>
      <c r="C11" s="109">
        <f>LOOKUP($B$7,data!A4:A6,data!C4:C6)</f>
        <v>6</v>
      </c>
      <c r="D11" s="113"/>
      <c r="E11" s="69" t="s">
        <v>212</v>
      </c>
      <c r="J11" s="2"/>
      <c r="P11" s="66"/>
      <c r="R11" s="66"/>
      <c r="S11" s="66"/>
    </row>
    <row r="12" spans="1:19" x14ac:dyDescent="0.25">
      <c r="A12" s="307"/>
      <c r="B12" s="106" t="s">
        <v>121</v>
      </c>
      <c r="C12" s="109">
        <f>LOOKUP($B$7,data!A4:A6,data!B4:B6)</f>
        <v>4.5</v>
      </c>
      <c r="D12" s="113"/>
      <c r="E12" s="69" t="s">
        <v>211</v>
      </c>
      <c r="J12" s="2"/>
      <c r="P12" s="67"/>
      <c r="R12" s="66"/>
      <c r="S12" s="66"/>
    </row>
    <row r="13" spans="1:19" x14ac:dyDescent="0.25">
      <c r="A13" s="307"/>
      <c r="B13" s="106" t="s">
        <v>33</v>
      </c>
      <c r="C13" s="110">
        <v>2.5</v>
      </c>
      <c r="D13" s="113"/>
      <c r="E13" s="5" t="str">
        <f>IF(OR(C13&lt;1,  C13 &gt; 3.6), "Outside the recommended operating range (1.0 to 3.6V).","Output voltage.")</f>
        <v>Output voltage.</v>
      </c>
      <c r="J13" s="2"/>
      <c r="P13" s="67"/>
      <c r="R13" s="67"/>
      <c r="S13" s="66"/>
    </row>
    <row r="14" spans="1:19" x14ac:dyDescent="0.25">
      <c r="A14" s="307"/>
      <c r="B14" s="106" t="s">
        <v>122</v>
      </c>
      <c r="C14" s="109">
        <f>D14*C13</f>
        <v>1.2500000000000001E-2</v>
      </c>
      <c r="D14" s="114">
        <v>5.0000000000000001E-3</v>
      </c>
      <c r="E14" s="69" t="s">
        <v>210</v>
      </c>
      <c r="J14" s="2"/>
      <c r="M14" s="67"/>
      <c r="O14" s="66"/>
      <c r="Q14" s="67"/>
      <c r="R14" s="67"/>
      <c r="S14" s="66"/>
    </row>
    <row r="15" spans="1:19" x14ac:dyDescent="0.25">
      <c r="A15" s="307"/>
      <c r="B15" s="106" t="s">
        <v>123</v>
      </c>
      <c r="C15" s="109">
        <f>D15*C13</f>
        <v>0.05</v>
      </c>
      <c r="D15" s="114">
        <v>0.02</v>
      </c>
      <c r="E15" s="70" t="s">
        <v>209</v>
      </c>
      <c r="J15" s="2"/>
      <c r="M15" s="67"/>
      <c r="O15" s="66"/>
      <c r="Q15" s="67"/>
      <c r="R15" s="67"/>
      <c r="S15" s="66"/>
    </row>
    <row r="16" spans="1:19" x14ac:dyDescent="0.25">
      <c r="A16" s="307"/>
      <c r="B16" s="106" t="s">
        <v>164</v>
      </c>
      <c r="C16" s="110">
        <v>7</v>
      </c>
      <c r="D16" s="113"/>
      <c r="E16" s="5" t="str">
        <f>IF(OR(C16&lt;0,  C16 &gt; (LOOKUP($B$7,data!$A$4:$A$6,data!D4:D6))), "Outside the recommended operating range.","Nominal output current.")</f>
        <v>Nominal output current.</v>
      </c>
      <c r="J16" s="2"/>
      <c r="M16" s="67"/>
      <c r="O16" s="66"/>
      <c r="Q16" s="67"/>
      <c r="R16" s="66"/>
      <c r="S16" s="66"/>
    </row>
    <row r="17" spans="1:19" x14ac:dyDescent="0.25">
      <c r="A17" s="307"/>
      <c r="B17" s="106" t="s">
        <v>0</v>
      </c>
      <c r="C17" s="110">
        <v>10</v>
      </c>
      <c r="D17" s="113"/>
      <c r="E17" s="5" t="str">
        <f>IF(OR(C17&lt;0,  C17 &gt; (LOOKUP($B$7,data!$A$4:$A$6,data!D4:D6))), "Outside the recommended operating range.","Desired output current limit.")</f>
        <v>Desired output current limit.</v>
      </c>
      <c r="J17" s="2"/>
      <c r="M17" s="67"/>
      <c r="O17" s="66"/>
      <c r="Q17" s="67"/>
      <c r="R17" s="66"/>
      <c r="S17" s="66"/>
    </row>
    <row r="18" spans="1:19" x14ac:dyDescent="0.25">
      <c r="A18" s="307"/>
      <c r="B18" s="106" t="s">
        <v>118</v>
      </c>
      <c r="C18" s="110">
        <v>1</v>
      </c>
      <c r="D18" s="113"/>
      <c r="E18" s="69" t="s">
        <v>208</v>
      </c>
      <c r="J18" s="2"/>
      <c r="M18" s="67"/>
      <c r="O18" s="66"/>
      <c r="Q18" s="67"/>
      <c r="R18" s="66"/>
      <c r="S18" s="66"/>
    </row>
    <row r="19" spans="1:19" ht="13.8" thickBot="1" x14ac:dyDescent="0.3">
      <c r="A19" s="308"/>
      <c r="B19" s="107" t="s">
        <v>32</v>
      </c>
      <c r="C19" s="111">
        <v>0.5</v>
      </c>
      <c r="D19" s="115"/>
      <c r="E19" s="8" t="str">
        <f>IF(OR(C19&lt;0.1,  C19 &gt; 5), "Outside the recommended operating range (0.1 to 5.0MHz).","Desired switching frequency.")</f>
        <v>Desired switching frequency.</v>
      </c>
      <c r="F19" s="34"/>
      <c r="G19" s="34"/>
      <c r="H19" s="34"/>
      <c r="I19" s="34"/>
      <c r="J19" s="35"/>
      <c r="M19" s="67"/>
      <c r="O19" s="66"/>
      <c r="Q19" s="67"/>
      <c r="R19" s="66"/>
      <c r="S19" s="66"/>
    </row>
    <row r="20" spans="1:19" ht="13.8" thickBot="1" x14ac:dyDescent="0.3">
      <c r="A20" s="73"/>
      <c r="B20" s="71"/>
      <c r="C20" s="32"/>
      <c r="E20" s="5"/>
      <c r="M20" s="66"/>
      <c r="O20" s="66"/>
      <c r="R20" s="67"/>
      <c r="S20" s="66"/>
    </row>
    <row r="21" spans="1:19" x14ac:dyDescent="0.25">
      <c r="A21" s="319" t="s">
        <v>139</v>
      </c>
      <c r="B21" s="116" t="s">
        <v>37</v>
      </c>
      <c r="C21" s="120">
        <v>2.8</v>
      </c>
      <c r="D21" s="126">
        <f>(C11-C13)/C18*C13/(C11*C19)</f>
        <v>2.9166666666666665</v>
      </c>
      <c r="E21" s="3" t="s">
        <v>207</v>
      </c>
      <c r="F21" s="33"/>
      <c r="G21" s="33"/>
      <c r="H21" s="33"/>
      <c r="I21" s="33"/>
      <c r="J21" s="19"/>
      <c r="O21" s="66"/>
      <c r="Q21" s="67"/>
      <c r="R21" s="67"/>
      <c r="S21" s="67"/>
    </row>
    <row r="22" spans="1:19" x14ac:dyDescent="0.25">
      <c r="A22" s="320"/>
      <c r="B22" s="117" t="s">
        <v>35</v>
      </c>
      <c r="C22" s="121">
        <v>5.1999999999999998E-3</v>
      </c>
      <c r="D22" s="113"/>
      <c r="E22" s="5" t="s">
        <v>46</v>
      </c>
      <c r="J22" s="2"/>
      <c r="M22" s="66"/>
      <c r="O22" s="66"/>
      <c r="Q22" s="67"/>
      <c r="R22" s="67"/>
      <c r="S22" s="66"/>
    </row>
    <row r="23" spans="1:19" x14ac:dyDescent="0.25">
      <c r="A23" s="320"/>
      <c r="B23" s="117" t="s">
        <v>36</v>
      </c>
      <c r="C23" s="114">
        <v>225</v>
      </c>
      <c r="D23" s="127">
        <f>180/D21</f>
        <v>61.714285714285715</v>
      </c>
      <c r="E23" s="5" t="s">
        <v>203</v>
      </c>
      <c r="J23" s="2"/>
      <c r="Q23" s="67"/>
      <c r="R23" s="67"/>
      <c r="S23" s="66"/>
    </row>
    <row r="24" spans="1:19" x14ac:dyDescent="0.25">
      <c r="A24" s="320"/>
      <c r="B24" s="117" t="s">
        <v>126</v>
      </c>
      <c r="C24" s="109">
        <f>(C11-C13)/C21*C13/(C11*C19)</f>
        <v>1.0416666666666667</v>
      </c>
      <c r="D24" s="128"/>
      <c r="E24" s="72" t="s">
        <v>206</v>
      </c>
      <c r="J24" s="2"/>
      <c r="Q24" s="67"/>
      <c r="R24" s="67"/>
      <c r="S24" s="66"/>
    </row>
    <row r="25" spans="1:19" x14ac:dyDescent="0.25">
      <c r="A25" s="320"/>
      <c r="B25" s="106" t="s">
        <v>127</v>
      </c>
      <c r="C25" s="109">
        <f>SQRT(C16*C16+1/12*POWER((C13*(C11-C13)/(C11*C21*C19*1000)),2))</f>
        <v>7.0000000064587464</v>
      </c>
      <c r="D25" s="128"/>
      <c r="E25" s="72" t="s">
        <v>205</v>
      </c>
      <c r="J25" s="2"/>
      <c r="Q25" s="67"/>
      <c r="R25" s="67"/>
      <c r="S25" s="66"/>
    </row>
    <row r="26" spans="1:19" x14ac:dyDescent="0.25">
      <c r="A26" s="320"/>
      <c r="B26" s="106" t="s">
        <v>128</v>
      </c>
      <c r="C26" s="109">
        <f>C16+C24/2</f>
        <v>7.520833333333333</v>
      </c>
      <c r="D26" s="128"/>
      <c r="E26" s="72" t="s">
        <v>204</v>
      </c>
      <c r="J26" s="2"/>
      <c r="Q26" s="67"/>
      <c r="R26" s="67"/>
      <c r="S26" s="66"/>
    </row>
    <row r="27" spans="1:19" x14ac:dyDescent="0.25">
      <c r="A27" s="320"/>
      <c r="B27" s="117" t="s">
        <v>34</v>
      </c>
      <c r="C27" s="121">
        <v>0.01</v>
      </c>
      <c r="D27" s="113"/>
      <c r="E27" s="5" t="s">
        <v>203</v>
      </c>
      <c r="J27" s="2"/>
      <c r="Q27" s="17"/>
      <c r="R27" s="17"/>
      <c r="S27" s="66"/>
    </row>
    <row r="28" spans="1:19" x14ac:dyDescent="0.25">
      <c r="A28" s="320"/>
      <c r="B28" s="117" t="s">
        <v>47</v>
      </c>
      <c r="C28" s="121">
        <v>0.01</v>
      </c>
      <c r="D28" s="113"/>
      <c r="E28" s="5" t="s">
        <v>202</v>
      </c>
      <c r="J28" s="2"/>
      <c r="Q28" s="17"/>
      <c r="R28" s="17"/>
      <c r="S28" s="67"/>
    </row>
    <row r="29" spans="1:19" x14ac:dyDescent="0.25">
      <c r="A29" s="320"/>
      <c r="B29" s="118" t="s">
        <v>129</v>
      </c>
      <c r="C29" s="122">
        <f>2*C16/(C19*1000000*C15)</f>
        <v>5.5999999999999995E-4</v>
      </c>
      <c r="D29" s="113"/>
      <c r="E29" s="92" t="s">
        <v>171</v>
      </c>
      <c r="J29" s="2"/>
      <c r="S29" s="67"/>
    </row>
    <row r="30" spans="1:19" x14ac:dyDescent="0.25">
      <c r="A30" s="320"/>
      <c r="B30" s="118"/>
      <c r="C30" s="123"/>
      <c r="D30" s="113"/>
      <c r="E30" s="92" t="s">
        <v>170</v>
      </c>
      <c r="J30" s="2"/>
      <c r="S30" s="67"/>
    </row>
    <row r="31" spans="1:19" x14ac:dyDescent="0.25">
      <c r="A31" s="320"/>
      <c r="B31" s="118" t="s">
        <v>130</v>
      </c>
      <c r="C31" s="122">
        <f>1/(8*C19*1000000)/(C14/C24)</f>
        <v>2.0833333333333333E-5</v>
      </c>
      <c r="D31" s="113"/>
      <c r="E31" s="69" t="s">
        <v>213</v>
      </c>
      <c r="J31" s="2"/>
      <c r="S31" s="17"/>
    </row>
    <row r="32" spans="1:19" x14ac:dyDescent="0.25">
      <c r="A32" s="320"/>
      <c r="B32" s="118" t="s">
        <v>131</v>
      </c>
      <c r="C32" s="121">
        <v>1.0369999999999999E-3</v>
      </c>
      <c r="D32" s="113"/>
      <c r="E32" s="69" t="s">
        <v>214</v>
      </c>
      <c r="J32" s="2"/>
      <c r="Q32" s="66"/>
      <c r="S32" s="17"/>
    </row>
    <row r="33" spans="1:19" x14ac:dyDescent="0.25">
      <c r="A33" s="320"/>
      <c r="B33" s="118" t="s">
        <v>132</v>
      </c>
      <c r="C33" s="122">
        <f>(6.3-C13)/6.3*C32</f>
        <v>6.2549206349206345E-4</v>
      </c>
      <c r="D33" s="113"/>
      <c r="E33" s="69" t="s">
        <v>215</v>
      </c>
      <c r="J33" s="2"/>
      <c r="Q33" s="66"/>
      <c r="S33" s="17"/>
    </row>
    <row r="34" spans="1:19" x14ac:dyDescent="0.25">
      <c r="A34" s="320"/>
      <c r="B34" s="118" t="s">
        <v>133</v>
      </c>
      <c r="C34" s="124">
        <f>C14/C24</f>
        <v>1.2E-2</v>
      </c>
      <c r="D34" s="113"/>
      <c r="E34" s="69" t="s">
        <v>216</v>
      </c>
      <c r="J34" s="2"/>
      <c r="Q34" s="66"/>
      <c r="S34" s="17"/>
    </row>
    <row r="35" spans="1:19" x14ac:dyDescent="0.25">
      <c r="A35" s="320"/>
      <c r="B35" s="118" t="s">
        <v>134</v>
      </c>
      <c r="C35" s="110">
        <v>4.0000000000000001E-3</v>
      </c>
      <c r="D35" s="113"/>
      <c r="E35" s="69" t="s">
        <v>217</v>
      </c>
      <c r="J35" s="2"/>
      <c r="Q35" s="66"/>
      <c r="S35" s="17"/>
    </row>
    <row r="36" spans="1:19" x14ac:dyDescent="0.25">
      <c r="A36" s="320"/>
      <c r="B36" s="118" t="s">
        <v>135</v>
      </c>
      <c r="C36" s="124">
        <f>C13*(C11-C13)/(SQRT(12)*C11*C21*C19)</f>
        <v>0.30070326520293011</v>
      </c>
      <c r="D36" s="113"/>
      <c r="E36" s="5" t="s">
        <v>218</v>
      </c>
      <c r="J36" s="2"/>
      <c r="Q36" s="66"/>
      <c r="S36" s="17"/>
    </row>
    <row r="37" spans="1:19" x14ac:dyDescent="0.25">
      <c r="A37" s="320"/>
      <c r="B37" s="118" t="s">
        <v>136</v>
      </c>
      <c r="C37" s="124">
        <f>C16*SQRT(C13/C12*(C12-C13)/C12)</f>
        <v>3.4783279649996732</v>
      </c>
      <c r="D37" s="113"/>
      <c r="E37" s="5" t="s">
        <v>219</v>
      </c>
      <c r="J37" s="2"/>
      <c r="Q37" s="66"/>
      <c r="S37" s="17"/>
    </row>
    <row r="38" spans="1:19" x14ac:dyDescent="0.25">
      <c r="A38" s="320"/>
      <c r="B38" s="118" t="s">
        <v>137</v>
      </c>
      <c r="C38" s="121">
        <v>1.186E-3</v>
      </c>
      <c r="D38" s="113"/>
      <c r="E38" s="69" t="s">
        <v>226</v>
      </c>
      <c r="J38" s="2"/>
      <c r="Q38" s="66"/>
      <c r="S38" s="17"/>
    </row>
    <row r="39" spans="1:19" ht="13.8" thickBot="1" x14ac:dyDescent="0.3">
      <c r="A39" s="321"/>
      <c r="B39" s="119" t="s">
        <v>138</v>
      </c>
      <c r="C39" s="125">
        <f>1000*C16*0.25/((C38)*C19*1000000)</f>
        <v>2.9510961214165263</v>
      </c>
      <c r="D39" s="129"/>
      <c r="E39" s="85" t="s">
        <v>220</v>
      </c>
      <c r="F39" s="34"/>
      <c r="G39" s="34"/>
      <c r="H39" s="34"/>
      <c r="I39" s="34"/>
      <c r="J39" s="35"/>
      <c r="Q39" s="66"/>
      <c r="S39" s="17"/>
    </row>
    <row r="40" spans="1:19" ht="13.8" thickBot="1" x14ac:dyDescent="0.3">
      <c r="A40" s="73"/>
      <c r="B40" s="21"/>
      <c r="C40" s="32"/>
      <c r="D40" s="5"/>
      <c r="E40" s="68"/>
      <c r="Q40" s="66"/>
      <c r="S40" s="17"/>
    </row>
    <row r="41" spans="1:19" x14ac:dyDescent="0.25">
      <c r="A41" s="309" t="s">
        <v>63</v>
      </c>
      <c r="B41" s="105" t="s">
        <v>187</v>
      </c>
      <c r="C41" s="130">
        <v>15</v>
      </c>
      <c r="D41" s="132">
        <f>IF(C13=1, 0.001, 15)</f>
        <v>15</v>
      </c>
      <c r="E41" s="83" t="s">
        <v>200</v>
      </c>
      <c r="F41" s="3"/>
      <c r="G41" s="3"/>
      <c r="H41" s="3"/>
      <c r="I41" s="3"/>
      <c r="J41" s="19"/>
      <c r="Q41" s="66"/>
      <c r="S41" s="17"/>
    </row>
    <row r="42" spans="1:19" ht="13.8" thickBot="1" x14ac:dyDescent="0.3">
      <c r="A42" s="310"/>
      <c r="B42" s="107" t="s">
        <v>188</v>
      </c>
      <c r="C42" s="131">
        <v>10</v>
      </c>
      <c r="D42" s="133">
        <f>IF(C13=1, "OPEN", C41*(LOOKUP($B$7,data!$A$4:$A$6,data!K4:K6))/(C13-(LOOKUP($B$7,data!$A$4:$A$6,data!K4:K6))))</f>
        <v>10</v>
      </c>
      <c r="E42" s="85" t="s">
        <v>201</v>
      </c>
      <c r="F42" s="8"/>
      <c r="G42" s="8"/>
      <c r="H42" s="8"/>
      <c r="I42" s="8"/>
      <c r="J42" s="35"/>
      <c r="Q42" s="66"/>
      <c r="S42" s="17"/>
    </row>
    <row r="43" spans="1:19" ht="13.8" thickBot="1" x14ac:dyDescent="0.3">
      <c r="A43" s="73"/>
      <c r="B43" s="21"/>
      <c r="C43" s="32"/>
      <c r="D43" s="40"/>
      <c r="E43" s="68"/>
      <c r="Q43" s="66"/>
      <c r="S43" s="17"/>
    </row>
    <row r="44" spans="1:19" x14ac:dyDescent="0.25">
      <c r="A44" s="315" t="s">
        <v>198</v>
      </c>
      <c r="B44" s="116" t="s">
        <v>119</v>
      </c>
      <c r="C44" s="108">
        <v>4.0000000000000001E-3</v>
      </c>
      <c r="D44" s="136"/>
      <c r="E44" s="83" t="s">
        <v>221</v>
      </c>
      <c r="F44" s="33"/>
      <c r="G44" s="33"/>
      <c r="H44" s="33"/>
      <c r="I44" s="33"/>
      <c r="J44" s="19"/>
      <c r="Q44" s="66"/>
      <c r="S44" s="17"/>
    </row>
    <row r="45" spans="1:19" ht="13.8" thickBot="1" x14ac:dyDescent="0.3">
      <c r="A45" s="316"/>
      <c r="B45" s="134" t="s">
        <v>185</v>
      </c>
      <c r="C45" s="135">
        <v>1E-8</v>
      </c>
      <c r="D45" s="137">
        <f>C44/(-1200000*LN(1-(LOOKUP($B$7,data!$A$4:$A$6,data!K4:K6/3.2))))</f>
        <v>8.8961612173968714E-9</v>
      </c>
      <c r="E45" s="85" t="s">
        <v>222</v>
      </c>
      <c r="F45" s="34"/>
      <c r="G45" s="34"/>
      <c r="H45" s="34"/>
      <c r="I45" s="34"/>
      <c r="J45" s="35"/>
      <c r="Q45" s="66"/>
      <c r="S45" s="17"/>
    </row>
    <row r="46" spans="1:19" ht="13.8" thickBot="1" x14ac:dyDescent="0.3">
      <c r="A46" s="91"/>
      <c r="B46" s="21"/>
      <c r="C46" s="84"/>
      <c r="D46" s="31"/>
      <c r="E46" s="69"/>
      <c r="Q46" s="66"/>
      <c r="S46" s="17"/>
    </row>
    <row r="47" spans="1:19" x14ac:dyDescent="0.25">
      <c r="A47" s="322" t="s">
        <v>64</v>
      </c>
      <c r="B47" s="116" t="s">
        <v>62</v>
      </c>
      <c r="C47" s="139">
        <v>1.3</v>
      </c>
      <c r="D47" s="132">
        <v>1</v>
      </c>
      <c r="E47" s="3" t="str">
        <f>IF(C47&lt;0.5,"Mcomp/M2 is less than recommended value.","Mcomp/M2, 0.5 is min, 1 is recommended.")</f>
        <v>Mcomp/M2, 0.5 is min, 1 is recommended.</v>
      </c>
      <c r="F47" s="3"/>
      <c r="G47" s="3"/>
      <c r="H47" s="3"/>
      <c r="I47" s="3"/>
      <c r="J47" s="4"/>
      <c r="K47" s="5"/>
      <c r="Q47" s="66"/>
      <c r="S47" s="67"/>
    </row>
    <row r="48" spans="1:19" x14ac:dyDescent="0.25">
      <c r="A48" s="323"/>
      <c r="B48" s="117"/>
      <c r="C48" s="114"/>
      <c r="D48" s="127"/>
      <c r="E48" s="5" t="s">
        <v>199</v>
      </c>
      <c r="F48" s="5"/>
      <c r="G48" s="5"/>
      <c r="H48" s="5"/>
      <c r="I48" s="5"/>
      <c r="J48" s="6"/>
      <c r="K48" s="5"/>
      <c r="Q48" s="66"/>
      <c r="S48" s="67"/>
    </row>
    <row r="49" spans="1:19" ht="13.8" thickBot="1" x14ac:dyDescent="0.3">
      <c r="A49" s="324"/>
      <c r="B49" s="138" t="s">
        <v>140</v>
      </c>
      <c r="C49" s="140">
        <v>150</v>
      </c>
      <c r="D49" s="141">
        <f>0.001*0.95*C13*LOOKUP($B$7,data!A4:A6,data!O4:O6)*(1-(C13/C10))/(LOOKUP($B$7,data!A4:A6,data!P4:P6)*C19*1000000*C24*C47)</f>
        <v>167.41258741258741</v>
      </c>
      <c r="E49" s="75" t="s">
        <v>194</v>
      </c>
      <c r="F49" s="8"/>
      <c r="G49" s="8"/>
      <c r="H49" s="8"/>
      <c r="I49" s="8"/>
      <c r="J49" s="9"/>
      <c r="K49" s="74"/>
      <c r="L49" s="5"/>
      <c r="Q49" s="66"/>
      <c r="S49" s="67"/>
    </row>
    <row r="50" spans="1:19" ht="13.8" thickBot="1" x14ac:dyDescent="0.3">
      <c r="A50" s="86"/>
      <c r="B50" s="21"/>
      <c r="C50" s="84"/>
      <c r="D50" s="31"/>
      <c r="E50" s="69"/>
      <c r="Q50" s="66"/>
      <c r="S50" s="17"/>
    </row>
    <row r="51" spans="1:19" x14ac:dyDescent="0.25">
      <c r="A51" s="317" t="s">
        <v>169</v>
      </c>
      <c r="B51" s="142" t="s">
        <v>186</v>
      </c>
      <c r="C51" s="145">
        <v>56</v>
      </c>
      <c r="D51" s="143">
        <f>((LOOKUP($B$7,data!$A$4:$A$6,data!I4:I6))*(LOOKUP($B$7,data!$A$4:$A$6,data!Q4:Q6)))/(C17+(((LOOKUP($B$7,data!$A$4:$A$6,data!O4:O6))*C13^2)/((LOOKUP($B$7,data!$A$4:$A$6,data!P4:P6))*C49*1000*C19*1000000*C10))+(C13*(1-(C13/C10))/(2*C19*1000000*C21*0.000001)))</f>
        <v>57.300876601483473</v>
      </c>
      <c r="E51" s="83" t="s">
        <v>193</v>
      </c>
      <c r="F51" s="33"/>
      <c r="G51" s="33"/>
      <c r="H51" s="33"/>
      <c r="I51" s="33"/>
      <c r="J51" s="19"/>
      <c r="L51" s="20"/>
      <c r="Q51" s="66"/>
      <c r="S51" s="17"/>
    </row>
    <row r="52" spans="1:19" ht="13.8" thickBot="1" x14ac:dyDescent="0.3">
      <c r="A52" s="318"/>
      <c r="B52" s="119" t="s">
        <v>144</v>
      </c>
      <c r="C52" s="146">
        <f>LOOKUP('User Input'!$B$7,data!$A$4:$A$6,data!I4:I6)/C51</f>
        <v>7.9464285714285712</v>
      </c>
      <c r="D52" s="144"/>
      <c r="E52" s="85" t="s">
        <v>168</v>
      </c>
      <c r="F52" s="34"/>
      <c r="G52" s="34"/>
      <c r="H52" s="34"/>
      <c r="I52" s="34"/>
      <c r="J52" s="35"/>
      <c r="Q52" s="66"/>
      <c r="S52" s="17"/>
    </row>
    <row r="53" spans="1:19" ht="12.75" customHeight="1" thickBot="1" x14ac:dyDescent="0.3">
      <c r="B53" s="1"/>
      <c r="J53" s="5"/>
      <c r="K53" s="5"/>
      <c r="L53" s="5"/>
      <c r="Q53" s="66"/>
      <c r="S53" s="67"/>
    </row>
    <row r="54" spans="1:19" x14ac:dyDescent="0.25">
      <c r="A54" s="297" t="s">
        <v>160</v>
      </c>
      <c r="B54" s="147" t="s">
        <v>145</v>
      </c>
      <c r="C54" s="151">
        <f>C16/(2*PI()*C13*C33)/1000</f>
        <v>0.71245322949323309</v>
      </c>
      <c r="D54" s="3"/>
      <c r="E54" s="154"/>
      <c r="F54" s="83" t="s">
        <v>172</v>
      </c>
      <c r="G54" s="33"/>
      <c r="H54" s="33"/>
      <c r="I54" s="33"/>
      <c r="J54" s="19"/>
    </row>
    <row r="55" spans="1:19" x14ac:dyDescent="0.25">
      <c r="A55" s="313"/>
      <c r="B55" s="148" t="s">
        <v>146</v>
      </c>
      <c r="C55" s="152">
        <f>1/(2*PI()*C33*C35)/1000</f>
        <v>63.611895490467219</v>
      </c>
      <c r="D55" s="5"/>
      <c r="E55" s="39"/>
      <c r="F55" s="69" t="s">
        <v>173</v>
      </c>
      <c r="J55" s="2"/>
    </row>
    <row r="56" spans="1:19" x14ac:dyDescent="0.25">
      <c r="A56" s="313"/>
      <c r="B56" s="148" t="s">
        <v>147</v>
      </c>
      <c r="C56" s="152">
        <f>SQRT(C54*C55)</f>
        <v>6.7320502357282956</v>
      </c>
      <c r="D56" s="5"/>
      <c r="E56" s="39"/>
      <c r="F56" s="69" t="s">
        <v>174</v>
      </c>
      <c r="J56" s="2"/>
    </row>
    <row r="57" spans="1:19" x14ac:dyDescent="0.25">
      <c r="A57" s="313"/>
      <c r="B57" s="148" t="s">
        <v>148</v>
      </c>
      <c r="C57" s="152">
        <f>SQRT(C54*C19*1000/2)</f>
        <v>13.345909761919877</v>
      </c>
      <c r="D57" s="5"/>
      <c r="E57" s="155"/>
      <c r="F57" s="69" t="s">
        <v>175</v>
      </c>
      <c r="J57" s="2"/>
    </row>
    <row r="58" spans="1:19" x14ac:dyDescent="0.25">
      <c r="A58" s="313"/>
      <c r="B58" s="148" t="s">
        <v>149</v>
      </c>
      <c r="C58" s="152">
        <f>MIN(C56,C57)</f>
        <v>6.7320502357282956</v>
      </c>
      <c r="D58" s="5"/>
      <c r="E58" s="39"/>
      <c r="F58" s="69" t="s">
        <v>180</v>
      </c>
      <c r="J58" s="2"/>
    </row>
    <row r="59" spans="1:19" ht="13.8" x14ac:dyDescent="0.3">
      <c r="A59" s="313"/>
      <c r="B59" s="148" t="s">
        <v>150</v>
      </c>
      <c r="C59" s="153">
        <v>50</v>
      </c>
      <c r="D59" s="5"/>
      <c r="E59" s="155"/>
      <c r="F59" s="69" t="s">
        <v>176</v>
      </c>
      <c r="J59" s="2"/>
    </row>
    <row r="60" spans="1:19" x14ac:dyDescent="0.25">
      <c r="A60" s="313"/>
      <c r="B60" s="149" t="s">
        <v>189</v>
      </c>
      <c r="C60" s="153">
        <v>47</v>
      </c>
      <c r="D60" s="89">
        <f>2*PI()*C59*C13*C33/((LOOKUP('User Input'!$B$7,data!$A$4:$A$6,data!J4:J6))*(LOOKUP('User Input'!$B$7,data!$A$4:$A$6,data!K4:K6))*C52)</f>
        <v>47.555017807494245</v>
      </c>
      <c r="E60" s="39"/>
      <c r="F60" s="69" t="s">
        <v>177</v>
      </c>
      <c r="J60" s="2"/>
    </row>
    <row r="61" spans="1:19" x14ac:dyDescent="0.25">
      <c r="A61" s="313"/>
      <c r="B61" s="149" t="s">
        <v>190</v>
      </c>
      <c r="C61" s="121">
        <v>4.6999999999999999E-9</v>
      </c>
      <c r="D61" s="94">
        <f>(C13/C16*C33)/C60/1000</f>
        <v>4.7529792058667434E-9</v>
      </c>
      <c r="E61" s="39"/>
      <c r="F61" s="69" t="s">
        <v>178</v>
      </c>
      <c r="J61" s="2"/>
    </row>
    <row r="62" spans="1:19" ht="13.8" x14ac:dyDescent="0.3">
      <c r="A62" s="313"/>
      <c r="B62" s="148" t="s">
        <v>153</v>
      </c>
      <c r="C62" s="270" t="s">
        <v>227</v>
      </c>
      <c r="D62" s="271" t="s">
        <v>228</v>
      </c>
      <c r="E62" s="272" t="s">
        <v>229</v>
      </c>
      <c r="F62" s="5" t="s">
        <v>191</v>
      </c>
      <c r="J62" s="2"/>
    </row>
    <row r="63" spans="1:19" ht="13.8" thickBot="1" x14ac:dyDescent="0.3">
      <c r="A63" s="314"/>
      <c r="B63" s="150" t="s">
        <v>231</v>
      </c>
      <c r="C63" s="135">
        <v>5.6E-11</v>
      </c>
      <c r="D63" s="93">
        <f>C35*C33/C60/1000</f>
        <v>5.3233367105707529E-11</v>
      </c>
      <c r="E63" s="156"/>
      <c r="F63" s="85" t="s">
        <v>179</v>
      </c>
      <c r="G63" s="34"/>
      <c r="H63" s="34"/>
      <c r="I63" s="34"/>
      <c r="J63" s="35"/>
    </row>
    <row r="64" spans="1:19" ht="13.8" thickBot="1" x14ac:dyDescent="0.3">
      <c r="A64" s="66"/>
      <c r="B64" s="5"/>
      <c r="C64" s="90"/>
      <c r="D64" s="5"/>
      <c r="E64" s="5"/>
      <c r="F64" s="66"/>
    </row>
    <row r="65" spans="1:10" x14ac:dyDescent="0.25">
      <c r="A65" s="300" t="s">
        <v>167</v>
      </c>
      <c r="B65" s="147" t="s">
        <v>155</v>
      </c>
      <c r="C65" s="151">
        <f>C52*(C13/C16)</f>
        <v>2.8380102040816326</v>
      </c>
      <c r="D65" s="36"/>
      <c r="E65" s="160"/>
      <c r="F65" s="36" t="s">
        <v>159</v>
      </c>
      <c r="G65" s="33"/>
      <c r="H65" s="33"/>
      <c r="I65" s="33"/>
      <c r="J65" s="19"/>
    </row>
    <row r="66" spans="1:10" x14ac:dyDescent="0.25">
      <c r="A66" s="311"/>
      <c r="B66" s="148" t="s">
        <v>156</v>
      </c>
      <c r="C66" s="152">
        <f>1/(2*PI()*C33*(C13/C16))/1000</f>
        <v>0.71245322949323298</v>
      </c>
      <c r="D66" s="5"/>
      <c r="E66" s="39"/>
      <c r="F66" s="69" t="s">
        <v>172</v>
      </c>
      <c r="J66" s="2"/>
    </row>
    <row r="67" spans="1:10" x14ac:dyDescent="0.25">
      <c r="A67" s="311"/>
      <c r="B67" s="148" t="s">
        <v>157</v>
      </c>
      <c r="C67" s="152">
        <f>1/(2*PI()*C33*C35)/1000</f>
        <v>63.611895490467219</v>
      </c>
      <c r="D67" s="5"/>
      <c r="E67" s="39"/>
      <c r="F67" s="69" t="s">
        <v>173</v>
      </c>
      <c r="J67" s="2"/>
    </row>
    <row r="68" spans="1:10" ht="13.8" x14ac:dyDescent="0.3">
      <c r="A68" s="311"/>
      <c r="B68" s="148" t="s">
        <v>150</v>
      </c>
      <c r="C68" s="153">
        <v>75</v>
      </c>
      <c r="D68" s="5"/>
      <c r="E68" s="155"/>
      <c r="F68" s="69" t="s">
        <v>182</v>
      </c>
      <c r="J68" s="2"/>
    </row>
    <row r="69" spans="1:10" x14ac:dyDescent="0.25">
      <c r="A69" s="311"/>
      <c r="B69" s="148"/>
      <c r="C69" s="153"/>
      <c r="D69" s="5"/>
      <c r="E69" s="155"/>
      <c r="F69" s="76" t="s">
        <v>181</v>
      </c>
      <c r="J69" s="2"/>
    </row>
    <row r="70" spans="1:10" x14ac:dyDescent="0.25">
      <c r="A70" s="311"/>
      <c r="B70" s="149" t="s">
        <v>189</v>
      </c>
      <c r="C70" s="153">
        <v>68</v>
      </c>
      <c r="D70" s="89">
        <f>2*PI()*C68*C13*C33/((LOOKUP('User Input'!$B$7,data!$A$4:$A$6,data!J4:J6))*(LOOKUP('User Input'!$B$7,data!$A$4:$A$6,data!K4:K6))*C52)</f>
        <v>71.332526711241357</v>
      </c>
      <c r="E70" s="39"/>
      <c r="F70" s="69" t="s">
        <v>177</v>
      </c>
      <c r="J70" s="2"/>
    </row>
    <row r="71" spans="1:10" x14ac:dyDescent="0.25">
      <c r="A71" s="311"/>
      <c r="B71" s="149" t="s">
        <v>190</v>
      </c>
      <c r="C71" s="121">
        <v>3.3000000000000002E-9</v>
      </c>
      <c r="D71" s="94">
        <f>(C13/C16*C33)/C70/1000</f>
        <v>3.2851473922902494E-9</v>
      </c>
      <c r="E71" s="39"/>
      <c r="F71" s="69" t="s">
        <v>178</v>
      </c>
      <c r="J71" s="2"/>
    </row>
    <row r="72" spans="1:10" ht="13.8" x14ac:dyDescent="0.3">
      <c r="A72" s="311"/>
      <c r="B72" s="148" t="s">
        <v>153</v>
      </c>
      <c r="C72" s="270" t="s">
        <v>227</v>
      </c>
      <c r="D72" s="273" t="s">
        <v>228</v>
      </c>
      <c r="E72" s="274" t="s">
        <v>229</v>
      </c>
      <c r="F72" s="5" t="s">
        <v>191</v>
      </c>
      <c r="J72" s="2"/>
    </row>
    <row r="73" spans="1:10" x14ac:dyDescent="0.25">
      <c r="A73" s="311"/>
      <c r="B73" s="157" t="s">
        <v>230</v>
      </c>
      <c r="C73" s="121">
        <v>3.9000000000000001E-11</v>
      </c>
      <c r="D73" s="94">
        <f>C35*C33/C70/1000</f>
        <v>3.6793650793650792E-11</v>
      </c>
      <c r="E73" s="39"/>
      <c r="F73" s="69" t="s">
        <v>179</v>
      </c>
      <c r="J73" s="2"/>
    </row>
    <row r="74" spans="1:10" ht="16.2" thickBot="1" x14ac:dyDescent="0.4">
      <c r="A74" s="312"/>
      <c r="B74" s="150" t="s">
        <v>192</v>
      </c>
      <c r="C74" s="159">
        <v>1.5E-10</v>
      </c>
      <c r="D74" s="95">
        <f>IF(C13=1, "OPEN", 1/(2*PI()*C41*1000*C68*1000))</f>
        <v>1.4147106052612923E-10</v>
      </c>
      <c r="E74" s="156"/>
      <c r="F74" s="85" t="s">
        <v>166</v>
      </c>
      <c r="G74" s="34"/>
      <c r="H74" s="34"/>
      <c r="I74" s="34"/>
      <c r="J74" s="35"/>
    </row>
    <row r="75" spans="1:10" ht="13.8" thickBot="1" x14ac:dyDescent="0.3"/>
    <row r="76" spans="1:10" x14ac:dyDescent="0.25">
      <c r="A76" s="303" t="s">
        <v>65</v>
      </c>
      <c r="B76" s="116" t="s">
        <v>49</v>
      </c>
      <c r="C76" s="161">
        <f>((((LOOKUP($B$7,data!$A$4:$A$6,data!I4:I6))*(LOOKUP($B$7,data!$A$4:$A$6,data!Q4:Q6)))/C51)-(((LOOKUP($B$7,data!$A$4:$A$6,data!O4:O6))*C13^2)/((LOOKUP($B$7,data!$A$4:$A$6,data!P4:P6))*C49*1000*C19*1000000*C10))-(C13*(1-(C13/C10))/(2*C19*1000000*C21*0.000001)))+(1-('User Input'!$C$13/'User Input'!$C$10))*(1/('User Input'!$C$19*1000000))*'User Input'!$C$13/('User Input'!$C$21*0.000001)*1/2</f>
        <v>10.726055194805195</v>
      </c>
      <c r="D76" s="3"/>
      <c r="E76" s="3" t="str">
        <f>IF(C76&gt;(LOOKUP($B$7,data!A4:A6,data!G4:G6)),"Increase inductance or switching frequency or RSET or reduce load","Max output current (load + ripple) in regulation at max load current")</f>
        <v>Max output current (load + ripple) in regulation at max load current</v>
      </c>
      <c r="F76" s="3"/>
      <c r="G76" s="3"/>
      <c r="H76" s="3"/>
      <c r="I76" s="3"/>
      <c r="J76" s="4"/>
    </row>
    <row r="77" spans="1:10" x14ac:dyDescent="0.25">
      <c r="A77" s="304"/>
      <c r="B77" s="117" t="s">
        <v>50</v>
      </c>
      <c r="C77" s="124">
        <f>((((LOOKUP($B$7,data!$A$4:$A$6,data!I4:I6))*(LOOKUP($B$7,data!$A$4:$A$6,data!Q4:Q6)))/C51)-(((LOOKUP($B$7,data!$A$4:$A$6,data!O4:O6))*C13^2)/((LOOKUP($B$7,data!$A$4:$A$6,data!P4:P6))*C49*1000*C19*1000000*C10))-(C13*(1-(C13/C10))/(2*C19*1000000*C21*0.000001)))-(1-('User Input'!$C$13/'User Input'!$C$10))*(1/('User Input'!$C$19*1000000))*'User Input'!$C$13/('User Input'!$C$21*0.000001)*1/2</f>
        <v>9.8331980519480524</v>
      </c>
      <c r="D77" s="5"/>
      <c r="E77" s="1" t="str">
        <f>IF(C77&gt;(LOOKUP($B$7,data!A4:A6,data!G4:G6)),"Increase inductance or switching frequency or RSET or reduce load","Min output current (load - ripple) in regulation at max load current")</f>
        <v>Min output current (load - ripple) in regulation at max load current</v>
      </c>
      <c r="F77" s="5"/>
      <c r="G77" s="5"/>
      <c r="H77" s="5"/>
      <c r="I77" s="5"/>
      <c r="J77" s="6"/>
    </row>
    <row r="78" spans="1:10" x14ac:dyDescent="0.25">
      <c r="A78" s="304"/>
      <c r="B78" s="118" t="s">
        <v>48</v>
      </c>
      <c r="C78" s="109">
        <f>$C$77+($C$76-$C$77)/SQRT(3)</f>
        <v>10.348689363724503</v>
      </c>
      <c r="D78" s="5"/>
      <c r="E78" s="1" t="str">
        <f>IF(C78&gt;(LOOKUP($B$7,data!A4:A6,data!G4:G6)),"Increase inductance or switching frequency or RSET or reduce load","Check inductor rating")</f>
        <v>Check inductor rating</v>
      </c>
      <c r="F78" s="5"/>
      <c r="G78" s="5"/>
      <c r="H78" s="5"/>
      <c r="I78" s="5"/>
      <c r="J78" s="6"/>
    </row>
    <row r="79" spans="1:10" x14ac:dyDescent="0.25">
      <c r="A79" s="304"/>
      <c r="B79" s="118" t="s">
        <v>78</v>
      </c>
      <c r="C79" s="162">
        <f>('User Input'!$C$13/'User Input'!$C$10)*(1/('User Input'!$C$19*1000000))*1000000000</f>
        <v>1000</v>
      </c>
      <c r="D79" s="5"/>
      <c r="E79" s="5" t="s">
        <v>77</v>
      </c>
      <c r="F79" s="5"/>
      <c r="G79" s="5"/>
      <c r="H79" s="5"/>
      <c r="I79" s="5"/>
      <c r="J79" s="6"/>
    </row>
    <row r="80" spans="1:10" x14ac:dyDescent="0.25">
      <c r="A80" s="304"/>
      <c r="B80" s="118" t="s">
        <v>45</v>
      </c>
      <c r="C80" s="163" t="str">
        <f>IF($C$79&lt;30,"Yes","No")</f>
        <v>No</v>
      </c>
      <c r="D80" s="5"/>
      <c r="E80" s="5" t="str">
        <f>IF(C80="Yes","Reduce switching frequency or raise output voltage","")</f>
        <v/>
      </c>
      <c r="F80" s="5"/>
      <c r="G80" s="5"/>
      <c r="H80" s="5"/>
      <c r="I80" s="5"/>
      <c r="J80" s="6"/>
    </row>
    <row r="81" spans="1:10" x14ac:dyDescent="0.25">
      <c r="A81" s="304"/>
      <c r="B81" s="118" t="s">
        <v>79</v>
      </c>
      <c r="C81" s="162">
        <f>(1-'User Input'!$C$13/'User Input'!$C$10)*(1/('User Input'!$C$19*1000000))*1000000000</f>
        <v>1000</v>
      </c>
      <c r="D81" s="5"/>
      <c r="E81" s="5" t="s">
        <v>44</v>
      </c>
      <c r="F81" s="5"/>
      <c r="G81" s="5"/>
      <c r="H81" s="5"/>
      <c r="I81" s="5"/>
      <c r="J81" s="6"/>
    </row>
    <row r="82" spans="1:10" x14ac:dyDescent="0.25">
      <c r="A82" s="304"/>
      <c r="B82" s="118" t="s">
        <v>45</v>
      </c>
      <c r="C82" s="163" t="str">
        <f>IF($C$81&lt;30,"Yes","No")</f>
        <v>No</v>
      </c>
      <c r="D82" s="5"/>
      <c r="E82" s="5" t="str">
        <f>IF(C82="Yes","Reduce switching frequency or lower output voltage","")</f>
        <v/>
      </c>
      <c r="F82" s="5"/>
      <c r="G82" s="5"/>
      <c r="H82" s="5"/>
      <c r="I82" s="5"/>
      <c r="J82" s="6"/>
    </row>
    <row r="83" spans="1:10" ht="13.8" thickBot="1" x14ac:dyDescent="0.3">
      <c r="A83" s="305"/>
      <c r="B83" s="158" t="s">
        <v>51</v>
      </c>
      <c r="C83" s="164">
        <f>(C76-C77)</f>
        <v>0.89285714285714235</v>
      </c>
      <c r="D83" s="8"/>
      <c r="E83" s="8" t="str">
        <f>IF(C83&lt;0.3, "Comparator signal current insufficient for current comparator, decrease L or Fsw","")</f>
        <v/>
      </c>
      <c r="F83" s="8"/>
      <c r="G83" s="8"/>
      <c r="H83" s="8"/>
      <c r="I83" s="8"/>
      <c r="J83" s="9"/>
    </row>
    <row r="84" spans="1:10" x14ac:dyDescent="0.25">
      <c r="B84" s="7"/>
      <c r="C84" s="32"/>
      <c r="D84" s="5"/>
      <c r="E84" s="5"/>
    </row>
  </sheetData>
  <sheetProtection password="E0F9" sheet="1" objects="1" scenarios="1"/>
  <mergeCells count="9">
    <mergeCell ref="A76:A83"/>
    <mergeCell ref="A10:A19"/>
    <mergeCell ref="A41:A42"/>
    <mergeCell ref="A65:A74"/>
    <mergeCell ref="A54:A63"/>
    <mergeCell ref="A44:A45"/>
    <mergeCell ref="A51:A52"/>
    <mergeCell ref="A21:A39"/>
    <mergeCell ref="A47:A49"/>
  </mergeCells>
  <phoneticPr fontId="2" type="noConversion"/>
  <conditionalFormatting sqref="C80 C82">
    <cfRule type="cellIs" dxfId="12" priority="21" stopIfTrue="1" operator="equal">
      <formula>"Yes"</formula>
    </cfRule>
    <cfRule type="cellIs" dxfId="11" priority="22" stopIfTrue="1" operator="notEqual">
      <formula>"Yes"</formula>
    </cfRule>
  </conditionalFormatting>
  <conditionalFormatting sqref="C78">
    <cfRule type="cellIs" dxfId="10" priority="24" stopIfTrue="1" operator="greaterThan">
      <formula>10</formula>
    </cfRule>
  </conditionalFormatting>
  <conditionalFormatting sqref="C83">
    <cfRule type="cellIs" dxfId="9" priority="27" stopIfTrue="1" operator="greaterThanOrEqual">
      <formula>0.3</formula>
    </cfRule>
    <cfRule type="cellIs" dxfId="8" priority="28" stopIfTrue="1" operator="lessThan">
      <formula>0.3</formula>
    </cfRule>
  </conditionalFormatting>
  <conditionalFormatting sqref="C13">
    <cfRule type="cellIs" dxfId="7" priority="19" stopIfTrue="1" operator="notBetween">
      <formula>1</formula>
      <formula>3.6</formula>
    </cfRule>
  </conditionalFormatting>
  <conditionalFormatting sqref="C10">
    <cfRule type="cellIs" dxfId="6" priority="16" stopIfTrue="1" operator="notBetween">
      <formula>4.5</formula>
      <formula>5.5</formula>
    </cfRule>
  </conditionalFormatting>
  <conditionalFormatting sqref="C19">
    <cfRule type="cellIs" dxfId="5" priority="15" stopIfTrue="1" operator="notBetween">
      <formula>0.1</formula>
      <formula>5</formula>
    </cfRule>
  </conditionalFormatting>
  <conditionalFormatting sqref="C47">
    <cfRule type="cellIs" dxfId="4" priority="8" stopIfTrue="1" operator="lessThan">
      <formula>0.5</formula>
    </cfRule>
  </conditionalFormatting>
  <dataValidations count="1">
    <dataValidation type="list" allowBlank="1" showInputMessage="1" showErrorMessage="1" sqref="B7">
      <formula1>$M$6:$M$8</formula1>
    </dataValidation>
  </dataValidations>
  <pageMargins left="0.75" right="0.75" top="1" bottom="1" header="0.5" footer="0.5"/>
  <pageSetup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stopIfTrue="1" operator="greaterThan" id="{9F4125C9-968C-406C-9400-89D428CE4AE8}">
            <xm:f>LOOKUP($B$7,data!$A$4:$A$6,data!D4:D6)</xm:f>
            <x14:dxf>
              <fill>
                <patternFill>
                  <bgColor rgb="FFFF0000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cellIs" priority="3" operator="greaterThan" id="{89FD5745-ED89-4033-9B7B-9F104ABF431C}">
            <xm:f>LOOKUP($B$7,data!$A$4:$A$6,data!D4:D6)</xm:f>
            <x14:dxf>
              <fill>
                <patternFill>
                  <bgColor rgb="FFFF0000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cellIs" priority="2" operator="greaterThan" id="{EEDEC36B-4623-4581-B2EF-A0984ABA8C4B}">
            <xm:f>LOOKUP($B$7,data!A4:A6,data!G4:G6)</xm:f>
            <x14:dxf>
              <fill>
                <patternFill>
                  <bgColor rgb="FFFF0000"/>
                </patternFill>
              </fill>
            </x14:dxf>
          </x14:cfRule>
          <xm:sqref>C76</xm:sqref>
        </x14:conditionalFormatting>
        <x14:conditionalFormatting xmlns:xm="http://schemas.microsoft.com/office/excel/2006/main">
          <x14:cfRule type="cellIs" priority="1" operator="greaterThan" id="{E850657B-6064-4702-954D-41B17FFB5700}">
            <xm:f>LOOKUP($B$7,data!A4:A6,data!G4:G6)</xm:f>
            <x14:dxf>
              <fill>
                <patternFill>
                  <bgColor rgb="FFFF0000"/>
                </patternFill>
              </fill>
            </x14:dxf>
          </x14:cfRule>
          <xm:sqref>C77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showGridLines="0" zoomScaleNormal="100" workbookViewId="0">
      <selection activeCell="M14" sqref="M14"/>
    </sheetView>
  </sheetViews>
  <sheetFormatPr defaultColWidth="9.109375" defaultRowHeight="13.2" x14ac:dyDescent="0.25"/>
  <cols>
    <col min="1" max="16384" width="9.109375" style="1"/>
  </cols>
  <sheetData>
    <row r="1" spans="1:12" x14ac:dyDescent="0.25">
      <c r="A1" s="5"/>
      <c r="B1" s="5"/>
      <c r="D1" s="40"/>
      <c r="E1" s="5"/>
      <c r="F1" s="5"/>
      <c r="G1" s="5"/>
      <c r="H1" s="5"/>
      <c r="I1" s="5"/>
      <c r="J1" s="5"/>
      <c r="K1" s="5"/>
      <c r="L1" s="5"/>
    </row>
    <row r="2" spans="1:12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</sheetData>
  <sheetProtection password="E0F9" sheet="1" objects="1" scenarios="1"/>
  <phoneticPr fontId="2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AI97"/>
  <sheetViews>
    <sheetView zoomScale="75" workbookViewId="0">
      <selection activeCell="D3" sqref="D3"/>
    </sheetView>
  </sheetViews>
  <sheetFormatPr defaultColWidth="9.109375" defaultRowHeight="13.2" x14ac:dyDescent="0.25"/>
  <cols>
    <col min="1" max="2" width="9.109375" style="1"/>
    <col min="3" max="3" width="38" style="1" bestFit="1" customWidth="1"/>
    <col min="4" max="9" width="9.109375" style="1"/>
    <col min="10" max="10" width="17.6640625" bestFit="1" customWidth="1"/>
    <col min="11" max="13" width="9.109375" style="1"/>
    <col min="14" max="14" width="17.33203125" bestFit="1" customWidth="1"/>
    <col min="15" max="26" width="9.109375" style="1"/>
    <col min="27" max="27" width="14.44140625" bestFit="1" customWidth="1"/>
    <col min="28" max="28" width="27.109375" style="1" bestFit="1" customWidth="1"/>
    <col min="29" max="29" width="22" style="1" bestFit="1" customWidth="1"/>
    <col min="30" max="30" width="20.109375" style="1" bestFit="1" customWidth="1"/>
    <col min="31" max="16384" width="9.109375" style="1"/>
  </cols>
  <sheetData>
    <row r="2" spans="2:35" x14ac:dyDescent="0.25">
      <c r="B2" s="5"/>
      <c r="C2" s="1" t="s">
        <v>42</v>
      </c>
      <c r="D2" s="1">
        <f>'User Input'!C13/'User Input'!C10</f>
        <v>0.5</v>
      </c>
      <c r="P2" s="1" t="s">
        <v>43</v>
      </c>
      <c r="AA2" s="1"/>
      <c r="AF2" s="5"/>
      <c r="AG2" s="5"/>
      <c r="AH2" s="5"/>
      <c r="AI2" s="5"/>
    </row>
    <row r="3" spans="2:35" x14ac:dyDescent="0.25">
      <c r="B3" s="5"/>
      <c r="C3" s="1" t="s">
        <v>54</v>
      </c>
      <c r="D3" s="15">
        <f>1/('User Input'!C19*1000000)*$D$2*('User Input'!C10-'User Input'!C13)/('User Input'!C21*0.000001)</f>
        <v>0.89285714285714279</v>
      </c>
      <c r="P3" s="1" t="s">
        <v>55</v>
      </c>
      <c r="Q3" s="1">
        <v>1.6400000000000001E-2</v>
      </c>
      <c r="AA3" s="1"/>
      <c r="AF3" s="5"/>
      <c r="AG3" s="5"/>
      <c r="AH3" s="5"/>
      <c r="AI3" s="5"/>
    </row>
    <row r="4" spans="2:35" x14ac:dyDescent="0.25">
      <c r="B4" s="5"/>
      <c r="AA4" s="1"/>
      <c r="AF4" s="5"/>
      <c r="AG4" s="5"/>
      <c r="AH4" s="5"/>
      <c r="AI4" s="5"/>
    </row>
    <row r="5" spans="2:35" x14ac:dyDescent="0.25">
      <c r="B5" s="5"/>
      <c r="AA5" s="1"/>
      <c r="AF5" s="5"/>
      <c r="AG5" s="5"/>
      <c r="AH5" s="5"/>
      <c r="AI5" s="5"/>
    </row>
    <row r="6" spans="2:35" x14ac:dyDescent="0.25">
      <c r="B6" s="5"/>
      <c r="C6" s="1" t="s">
        <v>56</v>
      </c>
      <c r="D6" s="1">
        <v>148.19999999999999</v>
      </c>
      <c r="AA6" s="1"/>
      <c r="AF6" s="5"/>
      <c r="AG6" s="5"/>
      <c r="AH6" s="5"/>
      <c r="AI6" s="5"/>
    </row>
    <row r="7" spans="2:35" x14ac:dyDescent="0.25">
      <c r="B7" s="5"/>
      <c r="C7" s="1" t="s">
        <v>57</v>
      </c>
      <c r="D7" s="15">
        <v>5.2725E-13</v>
      </c>
      <c r="P7" s="1" t="s">
        <v>58</v>
      </c>
      <c r="Q7" s="1">
        <v>1.3599999999999999E-2</v>
      </c>
      <c r="AA7" s="1"/>
      <c r="AF7" s="5"/>
      <c r="AG7" s="5"/>
      <c r="AH7" s="5"/>
      <c r="AI7" s="5"/>
    </row>
    <row r="8" spans="2:35" x14ac:dyDescent="0.25">
      <c r="B8" s="5"/>
      <c r="C8" s="1" t="s">
        <v>59</v>
      </c>
      <c r="D8" s="1">
        <v>0.70420000000000005</v>
      </c>
      <c r="AA8" s="1"/>
      <c r="AF8" s="5"/>
      <c r="AG8" s="5"/>
      <c r="AH8" s="5"/>
      <c r="AI8" s="5"/>
    </row>
    <row r="9" spans="2:35" x14ac:dyDescent="0.25">
      <c r="B9" s="5"/>
      <c r="C9" s="1" t="s">
        <v>60</v>
      </c>
      <c r="D9" s="15">
        <v>2.4600000000000001E-7</v>
      </c>
      <c r="AA9" s="1"/>
      <c r="AF9" s="5"/>
      <c r="AG9" s="5"/>
      <c r="AH9" s="5"/>
      <c r="AI9" s="5"/>
    </row>
    <row r="10" spans="2:35" x14ac:dyDescent="0.25">
      <c r="B10" s="5"/>
      <c r="AA10" s="1"/>
      <c r="AF10" s="5"/>
      <c r="AG10" s="5"/>
      <c r="AH10" s="5"/>
      <c r="AI10" s="5"/>
    </row>
    <row r="11" spans="2:35" x14ac:dyDescent="0.25">
      <c r="B11" s="5"/>
      <c r="AA11" s="1"/>
      <c r="AF11" s="5"/>
      <c r="AG11" s="5"/>
      <c r="AH11" s="5"/>
      <c r="AI11" s="5"/>
    </row>
    <row r="12" spans="2:35" x14ac:dyDescent="0.25">
      <c r="B12" s="5"/>
      <c r="C12" s="1" t="s">
        <v>61</v>
      </c>
      <c r="D12" s="1">
        <v>65.908000000000001</v>
      </c>
      <c r="AA12" s="1"/>
      <c r="AF12" s="5"/>
      <c r="AG12" s="5"/>
      <c r="AH12" s="5"/>
      <c r="AI12" s="5"/>
    </row>
    <row r="13" spans="2:35" x14ac:dyDescent="0.25">
      <c r="B13" s="5"/>
      <c r="C13" s="1" t="s">
        <v>66</v>
      </c>
      <c r="D13" s="15">
        <v>5.1084999999999999E-13</v>
      </c>
      <c r="AA13" s="1"/>
      <c r="AF13" s="5"/>
      <c r="AG13" s="5"/>
      <c r="AH13" s="5"/>
      <c r="AI13" s="5"/>
    </row>
    <row r="14" spans="2:35" x14ac:dyDescent="0.25">
      <c r="B14" s="5"/>
      <c r="C14" s="1" t="s">
        <v>67</v>
      </c>
      <c r="D14" s="1">
        <v>0.69810000000000005</v>
      </c>
      <c r="H14" s="20"/>
      <c r="I14" s="20"/>
      <c r="L14" s="20"/>
      <c r="M14" s="20"/>
      <c r="W14" s="20"/>
      <c r="X14" s="20"/>
      <c r="Y14" s="20"/>
      <c r="AA14" s="1"/>
      <c r="AF14" s="5"/>
      <c r="AG14" s="5"/>
      <c r="AH14" s="5"/>
      <c r="AI14" s="5"/>
    </row>
    <row r="15" spans="2:35" x14ac:dyDescent="0.25">
      <c r="B15" s="5"/>
      <c r="C15" s="1" t="s">
        <v>68</v>
      </c>
      <c r="D15" s="15">
        <v>9.4500000000000006E-8</v>
      </c>
      <c r="AA15" s="1"/>
      <c r="AF15" s="5"/>
      <c r="AG15" s="5"/>
      <c r="AH15" s="5"/>
      <c r="AI15" s="5"/>
    </row>
    <row r="16" spans="2:35" x14ac:dyDescent="0.25">
      <c r="B16" s="5"/>
      <c r="AA16" s="1"/>
      <c r="AD16" s="5"/>
      <c r="AF16" s="5"/>
      <c r="AG16" s="5"/>
      <c r="AH16" s="5"/>
      <c r="AI16" s="5"/>
    </row>
    <row r="17" spans="2:35" x14ac:dyDescent="0.25">
      <c r="B17" s="5"/>
      <c r="G17" s="11" t="s">
        <v>71</v>
      </c>
      <c r="H17" s="12" t="s">
        <v>25</v>
      </c>
      <c r="I17" s="12" t="s">
        <v>28</v>
      </c>
      <c r="K17" s="11" t="s">
        <v>72</v>
      </c>
      <c r="L17" s="12" t="s">
        <v>26</v>
      </c>
      <c r="M17" s="12" t="s">
        <v>27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2"/>
      <c r="Z17" s="12"/>
      <c r="AF17" s="5"/>
      <c r="AG17" s="5"/>
      <c r="AH17" s="5"/>
      <c r="AI17" s="5"/>
    </row>
    <row r="18" spans="2:35" x14ac:dyDescent="0.25">
      <c r="B18" s="5"/>
      <c r="D18" s="1" t="s">
        <v>69</v>
      </c>
      <c r="F18" s="1" t="s">
        <v>70</v>
      </c>
      <c r="G18" s="11" t="s">
        <v>19</v>
      </c>
      <c r="H18" s="20" t="s">
        <v>20</v>
      </c>
      <c r="I18" s="20" t="s">
        <v>24</v>
      </c>
      <c r="J18" s="25" t="s">
        <v>29</v>
      </c>
      <c r="K18" s="1" t="s">
        <v>21</v>
      </c>
      <c r="L18" s="20" t="s">
        <v>22</v>
      </c>
      <c r="M18" s="20" t="s">
        <v>23</v>
      </c>
      <c r="N18" s="25" t="s">
        <v>30</v>
      </c>
      <c r="O18" s="1" t="s">
        <v>2</v>
      </c>
      <c r="P18" s="1" t="s">
        <v>3</v>
      </c>
      <c r="Q18" s="1" t="s">
        <v>4</v>
      </c>
      <c r="R18" s="1" t="s">
        <v>6</v>
      </c>
      <c r="S18" s="1" t="s">
        <v>7</v>
      </c>
      <c r="T18" s="1" t="s">
        <v>8</v>
      </c>
      <c r="U18" s="1" t="s">
        <v>9</v>
      </c>
      <c r="V18" s="1" t="s">
        <v>10</v>
      </c>
      <c r="W18" s="1" t="s">
        <v>11</v>
      </c>
      <c r="X18" s="1" t="s">
        <v>16</v>
      </c>
      <c r="Y18" s="20" t="s">
        <v>17</v>
      </c>
      <c r="Z18" s="20" t="s">
        <v>18</v>
      </c>
      <c r="AA18" s="25" t="s">
        <v>31</v>
      </c>
      <c r="AB18" s="29" t="s">
        <v>73</v>
      </c>
      <c r="AC18" s="29" t="s">
        <v>74</v>
      </c>
      <c r="AD18" s="29" t="s">
        <v>75</v>
      </c>
      <c r="AE18" s="1" t="s">
        <v>76</v>
      </c>
      <c r="AF18" s="5"/>
      <c r="AG18" s="5"/>
      <c r="AH18" s="5"/>
      <c r="AI18" s="5"/>
    </row>
    <row r="19" spans="2:35" x14ac:dyDescent="0.25">
      <c r="B19" s="5"/>
      <c r="F19" s="1">
        <v>0.5</v>
      </c>
      <c r="G19" s="15">
        <f t="shared" ref="G19:G38" si="0">$D$6*100/903040*($F19-$D$3/2+$D$3/SQRT(3))^2*$D$2</f>
        <v>2.6572445319931449E-3</v>
      </c>
      <c r="H19" s="15">
        <f>0.017*($F19-$D$3/2+$D$3/SQRT(3))^2*$D$2</f>
        <v>2.7525754208440308E-3</v>
      </c>
      <c r="I19" s="16">
        <f>0.009*($F19-$D$3/2+$D$3/SQRT(3))^2*($D$2)</f>
        <v>1.4572458110350748E-3</v>
      </c>
      <c r="J19" s="26">
        <f>SUM(G19:I19)</f>
        <v>6.8670657638722505E-3</v>
      </c>
      <c r="K19" s="16">
        <f t="shared" ref="K19:K38" si="1">$D$12*100/485760*($F19-$D$3/2+$D$3/SQRT(3))^2*(1-$D$2)</f>
        <v>2.1968817915042575E-3</v>
      </c>
      <c r="L19" s="16">
        <f t="shared" ref="L19:L38" si="2">0.001*($F19-$D$3/2+$D$3/SQRT(3))^2*(1-$D$2)</f>
        <v>1.6191620122611944E-4</v>
      </c>
      <c r="M19" s="16">
        <f>0.009*($F19-$D$3/2+$D$3/SQRT(3))^2*(1-$D$2)</f>
        <v>1.4572458110350748E-3</v>
      </c>
      <c r="N19" s="27">
        <f>SUM(K19:M19)</f>
        <v>3.8160438037654516E-3</v>
      </c>
      <c r="O19" s="15">
        <f>$D$7*903040/100*'User Input'!$C$10*'User Input'!$C$19*1000000</f>
        <v>1.1903196E-2</v>
      </c>
      <c r="P19" s="16">
        <f>$D$9*'User Input'!$C$19*1000000*'User Input'!$C$10/4.2*903040/100*($F19-$D$3/2)/0.001*0.000000002/((2.5-$D$8)/($D$6*100/903040*5))</f>
        <v>6.4736511042773296E-6</v>
      </c>
      <c r="Q19" s="16">
        <f>$D$9*'User Input'!$C$19*1000000*'User Input'!$C$10/4.2*903040/100*($F19+$D$3/2)/0.001*0.000000002/(($D$8)/($D$6*100/903040*5))</f>
        <v>2.9165259898335916E-4</v>
      </c>
      <c r="R19" s="15">
        <f>$D$13*485760/100*'User Input'!$C$10*'User Input'!$C$19*1000000</f>
        <v>6.2037624E-3</v>
      </c>
      <c r="S19" s="15">
        <f>'User Input'!$C$10*(0.04*D2+0.005)</f>
        <v>0.125</v>
      </c>
      <c r="T19" s="15">
        <f>0.000000000000000372*2.5^2*'User Input'!$C$10*'User Input'!$C$19*1000000*903040/(5-1)*5</f>
        <v>6.5611499999999982E-3</v>
      </c>
      <c r="U19" s="15">
        <f>0.000000000000000744*2.5^2*'User Input'!$C$10*'User Input'!$C$19*1000000*485760/(5-1)*5</f>
        <v>7.0586999999999993E-3</v>
      </c>
      <c r="V19" s="15">
        <f t="shared" ref="V19:V38" si="3">1.5*$O19/(5-1)</f>
        <v>4.4636985000000001E-3</v>
      </c>
      <c r="W19" s="1">
        <f t="shared" ref="W19:W38" si="4">3*$R19/(5-1)</f>
        <v>4.6528218E-3</v>
      </c>
      <c r="X19" s="14">
        <f>0.5*0.000000002*(F19+$D$3/2)^2*'User Input'!$C$19*1000000+0.5*0.000000002*(F19-$D$3/2)^2*'User Input'!$C$19*1000000</f>
        <v>4.4929846938775511E-4</v>
      </c>
      <c r="Y19" s="14">
        <f>0.5*0.000000001*(F19+$D$3/2)^2*'User Input'!$C$19*1000000+0.5*0.000000001*(F19-$D$3/2)^2*'User Input'!$C$19*1000000</f>
        <v>2.2464923469387756E-4</v>
      </c>
      <c r="Z19" s="14">
        <f>(1/('User Input'!$C$23*1000000))^2/(2*PI()*'User Input'!$C$21*0.000001)*'User Input'!$C$10^2*'User Input'!$C$19*1000000</f>
        <v>1.4034827433147738E-5</v>
      </c>
      <c r="AA19" s="28">
        <f>SUM(O19:Z19)</f>
        <v>0.16682943748160242</v>
      </c>
      <c r="AB19" s="29">
        <f>($F19-$D$3/2+$D$3/SQRT(3))^2*'User Input'!$C$22</f>
        <v>1.6839284927516421E-3</v>
      </c>
      <c r="AC19" s="28">
        <f>($D$3/SQRT(3))^2*'User Input'!$C$28</f>
        <v>2.6573129251700679E-3</v>
      </c>
      <c r="AD19" s="28">
        <f>($F19*SQRT($D$2-$D$2^2))^2*'User Input'!$C$27</f>
        <v>6.2500000000000001E-4</v>
      </c>
      <c r="AE19" s="15">
        <f>SUM(AA19:AD19,N19,J19)</f>
        <v>0.18247878846716184</v>
      </c>
      <c r="AF19" s="5"/>
      <c r="AG19" s="5"/>
      <c r="AH19" s="5"/>
      <c r="AI19" s="5"/>
    </row>
    <row r="20" spans="2:35" x14ac:dyDescent="0.25">
      <c r="B20" s="5"/>
      <c r="F20" s="1">
        <v>1</v>
      </c>
      <c r="G20" s="15">
        <f t="shared" si="0"/>
        <v>9.3781593375142618E-3</v>
      </c>
      <c r="H20" s="15">
        <f t="shared" ref="H20:H38" si="5">0.017*($F20-$D$3/2+$D$3/SQRT(3))^2*$D$2</f>
        <v>9.7146087138010109E-3</v>
      </c>
      <c r="I20" s="16">
        <f t="shared" ref="I20:I38" si="6">0.009*($F20-$D$3/2+$D$3/SQRT(3))^2*($D$2)</f>
        <v>5.1430281426005347E-3</v>
      </c>
      <c r="J20" s="26">
        <f t="shared" ref="J20:J38" si="7">SUM(G20:I20)</f>
        <v>2.4235796193915811E-2</v>
      </c>
      <c r="K20" s="16">
        <f t="shared" si="1"/>
        <v>7.7534104363955695E-3</v>
      </c>
      <c r="L20" s="16">
        <f t="shared" si="2"/>
        <v>5.7144757140005942E-4</v>
      </c>
      <c r="M20" s="16">
        <f t="shared" ref="M20:M38" si="8">0.009*($F20-$D$3/2+$D$3/SQRT(3))^2*(1-$D$2)</f>
        <v>5.1430281426005347E-3</v>
      </c>
      <c r="N20" s="27">
        <f t="shared" ref="N20:N38" si="9">SUM(K20:M20)</f>
        <v>1.3467886150396164E-2</v>
      </c>
      <c r="O20" s="15">
        <f>$D$7*903040/100*'User Input'!$C$10*'User Input'!$C$19*1000000</f>
        <v>1.1903196E-2</v>
      </c>
      <c r="P20" s="16">
        <f>$D$9*'User Input'!$C$19*1000000*'User Input'!$C$10/4.2*903040/100*($F20-$D$3/2)/0.001*0.000000002/((2.5-$D$8)/($D$6*100/903040*5))</f>
        <v>6.6894394744199039E-5</v>
      </c>
      <c r="Q20" s="16">
        <f>$D$9*'User Input'!$C$19*1000000*'User Input'!$C$10/4.2*903040/100*($F20+$D$3/2)/0.001*0.000000002/(($D$8)/($D$6*100/903040*5))</f>
        <v>4.4573321731419037E-4</v>
      </c>
      <c r="R20" s="15">
        <f>$D$13*485760/100*'User Input'!$C$10*'User Input'!$C$19*1000000</f>
        <v>6.2037624E-3</v>
      </c>
      <c r="S20" s="15">
        <f>'User Input'!$C$10*0.025</f>
        <v>0.125</v>
      </c>
      <c r="T20" s="15">
        <f>0.000000000000000372*2.5^2*'User Input'!$C$10*'User Input'!$C$19*1000000*903040/(5-1)*5</f>
        <v>6.5611499999999982E-3</v>
      </c>
      <c r="U20" s="15">
        <f>0.000000000000000744*2.5^2*'User Input'!$C$10*'User Input'!$C$19*1000000*485760/(5-1)*5</f>
        <v>7.0586999999999993E-3</v>
      </c>
      <c r="V20" s="15">
        <f t="shared" si="3"/>
        <v>4.4636985000000001E-3</v>
      </c>
      <c r="W20" s="1">
        <f t="shared" si="4"/>
        <v>4.6528218E-3</v>
      </c>
      <c r="X20" s="14">
        <f>0.5*0.000000002*(F20+$D$3/2)^2*'User Input'!$C$19*1000000+0.5*0.000000002*(F20-$D$3/2)^2*'User Input'!$C$19*1000000</f>
        <v>1.1992984693877551E-3</v>
      </c>
      <c r="Y20" s="14">
        <f>0.5*0.000000001*(F20+$D$3/2)^2*'User Input'!$C$19*1000000+0.5*0.000000001*(F20-$D$3/2)^2*'User Input'!$C$19*1000000</f>
        <v>5.9964923469387756E-4</v>
      </c>
      <c r="Z20" s="14">
        <f>(1/('User Input'!$C$23*1000000))^2/(2*PI()*'User Input'!$C$21*0.000001)*'User Input'!$C$10^2*'User Input'!$C$19*1000000</f>
        <v>1.4034827433147738E-5</v>
      </c>
      <c r="AA20" s="28">
        <f t="shared" ref="AA20:AA38" si="10">SUM(O20:Z20)</f>
        <v>0.16816893884357317</v>
      </c>
      <c r="AB20" s="29">
        <f>($F20-$D$3/2+$D$3/SQRT(3))^2*'User Input'!$C$22</f>
        <v>5.9430547425606177E-3</v>
      </c>
      <c r="AC20" s="28">
        <f>($D$3/SQRT(3))^2*'User Input'!$C$28</f>
        <v>2.6573129251700679E-3</v>
      </c>
      <c r="AD20" s="28">
        <f>($F20*SQRT($D$2-$D$2^2))^2*'User Input'!$C$27</f>
        <v>2.5000000000000001E-3</v>
      </c>
      <c r="AE20" s="15">
        <f t="shared" ref="AE20:AE38" si="11">SUM(AA20:AD20,N20,J20)</f>
        <v>0.21697298885561583</v>
      </c>
      <c r="AF20" s="5"/>
      <c r="AG20" s="5"/>
      <c r="AH20" s="5"/>
      <c r="AI20" s="5"/>
    </row>
    <row r="21" spans="2:35" x14ac:dyDescent="0.25">
      <c r="B21" s="5"/>
      <c r="F21" s="1">
        <v>1.5</v>
      </c>
      <c r="G21" s="15">
        <f t="shared" si="0"/>
        <v>2.0201882435026876E-2</v>
      </c>
      <c r="H21" s="15">
        <f t="shared" si="5"/>
        <v>2.0926642006757996E-2</v>
      </c>
      <c r="I21" s="16">
        <f t="shared" si="6"/>
        <v>1.1078810474165996E-2</v>
      </c>
      <c r="J21" s="26">
        <f t="shared" si="7"/>
        <v>5.2207334915950865E-2</v>
      </c>
      <c r="K21" s="16">
        <f t="shared" si="1"/>
        <v>1.6701943363236819E-2</v>
      </c>
      <c r="L21" s="16">
        <f t="shared" si="2"/>
        <v>1.2309789415739995E-3</v>
      </c>
      <c r="M21" s="16">
        <f t="shared" si="8"/>
        <v>1.1078810474165996E-2</v>
      </c>
      <c r="N21" s="27">
        <f t="shared" si="9"/>
        <v>2.9011732778976815E-2</v>
      </c>
      <c r="O21" s="15">
        <f>$D$7*903040/100*'User Input'!$C$10*'User Input'!$C$19*1000000</f>
        <v>1.1903196E-2</v>
      </c>
      <c r="P21" s="16">
        <f>$D$9*'User Input'!$C$19*1000000*'User Input'!$C$10/4.2*903040/100*($F21-$D$3/2)/0.001*0.000000002/((2.5-$D$8)/($D$6*100/903040*5))</f>
        <v>1.2731513838412073E-4</v>
      </c>
      <c r="Q21" s="16">
        <f>$D$9*'User Input'!$C$19*1000000*'User Input'!$C$10/4.2*903040/100*($F21+$D$3/2)/0.001*0.000000002/(($D$8)/($D$6*100/903040*5))</f>
        <v>5.9981383564502175E-4</v>
      </c>
      <c r="R21" s="15">
        <f>$D$13*485760/100*'User Input'!$C$10*'User Input'!$C$19*1000000</f>
        <v>6.2037624E-3</v>
      </c>
      <c r="S21" s="15">
        <f>'User Input'!$C$10*0.025</f>
        <v>0.125</v>
      </c>
      <c r="T21" s="15">
        <f>0.000000000000000372*2.5^2*'User Input'!$C$10*'User Input'!$C$19*1000000*903040/(5-1)*5</f>
        <v>6.5611499999999982E-3</v>
      </c>
      <c r="U21" s="15">
        <f>0.000000000000000744*2.5^2*'User Input'!$C$10*'User Input'!$C$19*1000000*485760/(5-1)*5</f>
        <v>7.0586999999999993E-3</v>
      </c>
      <c r="V21" s="15">
        <f t="shared" si="3"/>
        <v>4.4636985000000001E-3</v>
      </c>
      <c r="W21" s="1">
        <f t="shared" si="4"/>
        <v>4.6528218E-3</v>
      </c>
      <c r="X21" s="14">
        <f>0.5*0.000000002*(F21+$D$3/2)^2*'User Input'!$C$19*1000000+0.5*0.000000002*(F21-$D$3/2)^2*'User Input'!$C$19*1000000</f>
        <v>2.4492984693877552E-3</v>
      </c>
      <c r="Y21" s="14">
        <f>0.5*0.000000001*(F21+$D$3/2)^2*'User Input'!$C$19*1000000+0.5*0.000000001*(F21-$D$3/2)^2*'User Input'!$C$19*1000000</f>
        <v>1.2246492346938776E-3</v>
      </c>
      <c r="Z21" s="14">
        <f>(1/('User Input'!$C$23*1000000))^2/(2*PI()*'User Input'!$C$21*0.000001)*'User Input'!$C$10^2*'User Input'!$C$19*1000000</f>
        <v>1.4034827433147738E-5</v>
      </c>
      <c r="AA21" s="28">
        <f t="shared" si="10"/>
        <v>0.17025844020554393</v>
      </c>
      <c r="AB21" s="29">
        <f>($F21-$D$3/2+$D$3/SQRT(3))^2*'User Input'!$C$22</f>
        <v>1.2802180992369594E-2</v>
      </c>
      <c r="AC21" s="28">
        <f>($D$3/SQRT(3))^2*'User Input'!$C$28</f>
        <v>2.6573129251700679E-3</v>
      </c>
      <c r="AD21" s="28">
        <f>($F21*SQRT($D$2-$D$2^2))^2*'User Input'!$C$27</f>
        <v>5.6249999999999998E-3</v>
      </c>
      <c r="AE21" s="15">
        <f t="shared" si="11"/>
        <v>0.27256200181801127</v>
      </c>
      <c r="AF21" s="5"/>
      <c r="AG21" s="5"/>
      <c r="AH21" s="5"/>
      <c r="AI21" s="5"/>
    </row>
    <row r="22" spans="2:35" x14ac:dyDescent="0.25">
      <c r="B22" s="5"/>
      <c r="F22" s="1">
        <v>2</v>
      </c>
      <c r="G22" s="15">
        <f t="shared" si="0"/>
        <v>3.5128413824530982E-2</v>
      </c>
      <c r="H22" s="15">
        <f t="shared" si="5"/>
        <v>3.638867529971497E-2</v>
      </c>
      <c r="I22" s="16">
        <f t="shared" si="6"/>
        <v>1.9264592805731454E-2</v>
      </c>
      <c r="J22" s="26">
        <f t="shared" si="7"/>
        <v>9.0781681929977404E-2</v>
      </c>
      <c r="K22" s="16">
        <f t="shared" si="1"/>
        <v>2.9042480572027997E-2</v>
      </c>
      <c r="L22" s="16">
        <f t="shared" si="2"/>
        <v>2.1405103117479395E-3</v>
      </c>
      <c r="M22" s="16">
        <f t="shared" si="8"/>
        <v>1.9264592805731454E-2</v>
      </c>
      <c r="N22" s="27">
        <f t="shared" si="9"/>
        <v>5.0447583689507386E-2</v>
      </c>
      <c r="O22" s="15">
        <f>$D$7*903040/100*'User Input'!$C$10*'User Input'!$C$19*1000000</f>
        <v>1.1903196E-2</v>
      </c>
      <c r="P22" s="16">
        <f>$D$9*'User Input'!$C$19*1000000*'User Input'!$C$10/4.2*903040/100*($F22-$D$3/2)/0.001*0.000000002/((2.5-$D$8)/($D$6*100/903040*5))</f>
        <v>1.8773588202404244E-4</v>
      </c>
      <c r="Q22" s="16">
        <f>$D$9*'User Input'!$C$19*1000000*'User Input'!$C$10/4.2*903040/100*($F22+$D$3/2)/0.001*0.000000002/(($D$8)/($D$6*100/903040*5))</f>
        <v>7.5389445397585275E-4</v>
      </c>
      <c r="R22" s="15">
        <f>$D$13*485760/100*'User Input'!$C$10*'User Input'!$C$19*1000000</f>
        <v>6.2037624E-3</v>
      </c>
      <c r="S22" s="15">
        <f>'User Input'!$C$10*0.025</f>
        <v>0.125</v>
      </c>
      <c r="T22" s="15">
        <f>0.000000000000000372*2.5^2*'User Input'!$C$10*'User Input'!$C$19*1000000*903040/(5-1)*5</f>
        <v>6.5611499999999982E-3</v>
      </c>
      <c r="U22" s="15">
        <f>0.000000000000000744*2.5^2*'User Input'!$C$10*'User Input'!$C$19*1000000*485760/(5-1)*5</f>
        <v>7.0586999999999993E-3</v>
      </c>
      <c r="V22" s="15">
        <f t="shared" si="3"/>
        <v>4.4636985000000001E-3</v>
      </c>
      <c r="W22" s="1">
        <f t="shared" si="4"/>
        <v>4.6528218E-3</v>
      </c>
      <c r="X22" s="14">
        <f>0.5*0.000000002*(F22+$D$3/2)^2*'User Input'!$C$19*1000000+0.5*0.000000002*(F22-$D$3/2)^2*'User Input'!$C$19*1000000</f>
        <v>4.199298469387755E-3</v>
      </c>
      <c r="Y22" s="14">
        <f>0.5*0.000000001*(F22+$D$3/2)^2*'User Input'!$C$19*1000000+0.5*0.000000001*(F22-$D$3/2)^2*'User Input'!$C$19*1000000</f>
        <v>2.0996492346938775E-3</v>
      </c>
      <c r="Z22" s="14">
        <f>(1/('User Input'!$C$23*1000000))^2/(2*PI()*'User Input'!$C$21*0.000001)*'User Input'!$C$10^2*'User Input'!$C$19*1000000</f>
        <v>1.4034827433147738E-5</v>
      </c>
      <c r="AA22" s="28">
        <f t="shared" si="10"/>
        <v>0.17309794156751468</v>
      </c>
      <c r="AB22" s="29">
        <f>($F22-$D$3/2+$D$3/SQRT(3))^2*'User Input'!$C$22</f>
        <v>2.226130724217857E-2</v>
      </c>
      <c r="AC22" s="28">
        <f>($D$3/SQRT(3))^2*'User Input'!$C$28</f>
        <v>2.6573129251700679E-3</v>
      </c>
      <c r="AD22" s="28">
        <f>($F22*SQRT($D$2-$D$2^2))^2*'User Input'!$C$27</f>
        <v>0.01</v>
      </c>
      <c r="AE22" s="15">
        <f t="shared" si="11"/>
        <v>0.34924582735434806</v>
      </c>
      <c r="AF22" s="5"/>
      <c r="AG22" s="5"/>
      <c r="AH22" s="5"/>
      <c r="AI22" s="5"/>
    </row>
    <row r="23" spans="2:35" x14ac:dyDescent="0.25">
      <c r="B23" s="5"/>
      <c r="F23" s="1">
        <v>2.5</v>
      </c>
      <c r="G23" s="15">
        <f t="shared" si="0"/>
        <v>5.4157753506026599E-2</v>
      </c>
      <c r="H23" s="15">
        <f t="shared" si="5"/>
        <v>5.6100708592671973E-2</v>
      </c>
      <c r="I23" s="16">
        <f t="shared" si="6"/>
        <v>2.9700375137296921E-2</v>
      </c>
      <c r="J23" s="26">
        <f t="shared" si="7"/>
        <v>0.1399588372359955</v>
      </c>
      <c r="K23" s="16">
        <f t="shared" si="1"/>
        <v>4.4775022062769128E-2</v>
      </c>
      <c r="L23" s="16">
        <f t="shared" si="2"/>
        <v>3.3000416819218806E-3</v>
      </c>
      <c r="M23" s="16">
        <f t="shared" si="8"/>
        <v>2.9700375137296921E-2</v>
      </c>
      <c r="N23" s="27">
        <f t="shared" si="9"/>
        <v>7.7775438881987929E-2</v>
      </c>
      <c r="O23" s="15">
        <f>$D$7*903040/100*'User Input'!$C$10*'User Input'!$C$19*1000000</f>
        <v>1.1903196E-2</v>
      </c>
      <c r="P23" s="16">
        <f>$D$9*'User Input'!$C$19*1000000*'User Input'!$C$10/4.2*903040/100*($F23-$D$3/2)/0.001*0.000000002/((2.5-$D$8)/($D$6*100/903040*5))</f>
        <v>2.4815662566396413E-4</v>
      </c>
      <c r="Q23" s="16">
        <f>$D$9*'User Input'!$C$19*1000000*'User Input'!$C$10/4.2*903040/100*($F23+$D$3/2)/0.001*0.000000002/(($D$8)/($D$6*100/903040*5))</f>
        <v>9.0797507230668407E-4</v>
      </c>
      <c r="R23" s="15">
        <f>$D$13*485760/100*'User Input'!$C$10*'User Input'!$C$19*1000000</f>
        <v>6.2037624E-3</v>
      </c>
      <c r="S23" s="15">
        <f>'User Input'!$C$10*0.025</f>
        <v>0.125</v>
      </c>
      <c r="T23" s="15">
        <f>0.000000000000000372*2.5^2*'User Input'!$C$10*'User Input'!$C$19*1000000*903040/(5-1)*5</f>
        <v>6.5611499999999982E-3</v>
      </c>
      <c r="U23" s="15">
        <f>0.000000000000000744*2.5^2*'User Input'!$C$10*'User Input'!$C$19*1000000*485760/(5-1)*5</f>
        <v>7.0586999999999993E-3</v>
      </c>
      <c r="V23" s="15">
        <f t="shared" si="3"/>
        <v>4.4636985000000001E-3</v>
      </c>
      <c r="W23" s="1">
        <f t="shared" si="4"/>
        <v>4.6528218E-3</v>
      </c>
      <c r="X23" s="14">
        <f>0.5*0.000000002*(F23+$D$3/2)^2*'User Input'!$C$19*1000000+0.5*0.000000002*(F23-$D$3/2)^2*'User Input'!$C$19*1000000</f>
        <v>6.4492984693877552E-3</v>
      </c>
      <c r="Y23" s="14">
        <f>0.5*0.000000001*(F23+$D$3/2)^2*'User Input'!$C$19*1000000+0.5*0.000000001*(F23-$D$3/2)^2*'User Input'!$C$19*1000000</f>
        <v>3.2246492346938776E-3</v>
      </c>
      <c r="Z23" s="14">
        <f>(1/('User Input'!$C$23*1000000))^2/(2*PI()*'User Input'!$C$21*0.000001)*'User Input'!$C$10^2*'User Input'!$C$19*1000000</f>
        <v>1.4034827433147738E-5</v>
      </c>
      <c r="AA23" s="28">
        <f t="shared" si="10"/>
        <v>0.17668744292948541</v>
      </c>
      <c r="AB23" s="29">
        <f>($F23-$D$3/2+$D$3/SQRT(3))^2*'User Input'!$C$22</f>
        <v>3.4320433491987559E-2</v>
      </c>
      <c r="AC23" s="28">
        <f>($D$3/SQRT(3))^2*'User Input'!$C$28</f>
        <v>2.6573129251700679E-3</v>
      </c>
      <c r="AD23" s="28">
        <f>($F23*SQRT($D$2-$D$2^2))^2*'User Input'!$C$27</f>
        <v>1.5625E-2</v>
      </c>
      <c r="AE23" s="15">
        <f t="shared" si="11"/>
        <v>0.44702446546462643</v>
      </c>
      <c r="AF23" s="5"/>
      <c r="AG23" s="5"/>
      <c r="AH23" s="5"/>
      <c r="AI23" s="5"/>
    </row>
    <row r="24" spans="2:35" x14ac:dyDescent="0.25">
      <c r="B24" s="5"/>
      <c r="F24" s="1">
        <v>3</v>
      </c>
      <c r="G24" s="15">
        <f t="shared" si="0"/>
        <v>7.7289901479513701E-2</v>
      </c>
      <c r="H24" s="15">
        <f t="shared" si="5"/>
        <v>8.0062741885628966E-2</v>
      </c>
      <c r="I24" s="16">
        <f t="shared" si="6"/>
        <v>4.2386157468862387E-2</v>
      </c>
      <c r="J24" s="26">
        <f t="shared" si="7"/>
        <v>0.19973880083400503</v>
      </c>
      <c r="K24" s="16">
        <f t="shared" si="1"/>
        <v>6.3899567835460178E-2</v>
      </c>
      <c r="L24" s="16">
        <f t="shared" si="2"/>
        <v>4.7095730520958206E-3</v>
      </c>
      <c r="M24" s="16">
        <f t="shared" si="8"/>
        <v>4.2386157468862387E-2</v>
      </c>
      <c r="N24" s="27">
        <f t="shared" si="9"/>
        <v>0.11099529835641839</v>
      </c>
      <c r="O24" s="15">
        <f>$D$7*903040/100*'User Input'!$C$10*'User Input'!$C$19*1000000</f>
        <v>1.1903196E-2</v>
      </c>
      <c r="P24" s="16">
        <f>$D$9*'User Input'!$C$19*1000000*'User Input'!$C$10/4.2*903040/100*($F24-$D$3/2)/0.001*0.000000002/((2.5-$D$8)/($D$6*100/903040*5))</f>
        <v>3.085773693038859E-4</v>
      </c>
      <c r="Q24" s="16">
        <f>$D$9*'User Input'!$C$19*1000000*'User Input'!$C$10/4.2*903040/100*($F24+$D$3/2)/0.001*0.000000002/(($D$8)/($D$6*100/903040*5))</f>
        <v>1.0620556906375152E-3</v>
      </c>
      <c r="R24" s="15">
        <f>$D$13*485760/100*'User Input'!$C$10*'User Input'!$C$19*1000000</f>
        <v>6.2037624E-3</v>
      </c>
      <c r="S24" s="15">
        <f>'User Input'!$C$10*0.025</f>
        <v>0.125</v>
      </c>
      <c r="T24" s="15">
        <f>0.000000000000000372*2.5^2*'User Input'!$C$10*'User Input'!$C$19*1000000*903040/(5-1)*5</f>
        <v>6.5611499999999982E-3</v>
      </c>
      <c r="U24" s="15">
        <f>0.000000000000000744*2.5^2*'User Input'!$C$10*'User Input'!$C$19*1000000*485760/(5-1)*5</f>
        <v>7.0586999999999993E-3</v>
      </c>
      <c r="V24" s="15">
        <f t="shared" si="3"/>
        <v>4.4636985000000001E-3</v>
      </c>
      <c r="W24" s="1">
        <f t="shared" si="4"/>
        <v>4.6528218E-3</v>
      </c>
      <c r="X24" s="14">
        <f>0.5*0.000000002*(F24+$D$3/2)^2*'User Input'!$C$19*1000000+0.5*0.000000002*(F24-$D$3/2)^2*'User Input'!$C$19*1000000</f>
        <v>9.1992984693877559E-3</v>
      </c>
      <c r="Y24" s="14">
        <f>0.5*0.000000001*(F24+$D$3/2)^2*'User Input'!$C$19*1000000+0.5*0.000000001*(F24-$D$3/2)^2*'User Input'!$C$19*1000000</f>
        <v>4.599649234693878E-3</v>
      </c>
      <c r="Z24" s="14">
        <f>(1/('User Input'!$C$23*1000000))^2/(2*PI()*'User Input'!$C$21*0.000001)*'User Input'!$C$10^2*'User Input'!$C$19*1000000</f>
        <v>1.4034827433147738E-5</v>
      </c>
      <c r="AA24" s="28">
        <f t="shared" si="10"/>
        <v>0.18102694429145619</v>
      </c>
      <c r="AB24" s="29">
        <f>($F24-$D$3/2+$D$3/SQRT(3))^2*'User Input'!$C$22</f>
        <v>4.8979559741796533E-2</v>
      </c>
      <c r="AC24" s="28">
        <f>($D$3/SQRT(3))^2*'User Input'!$C$28</f>
        <v>2.6573129251700679E-3</v>
      </c>
      <c r="AD24" s="28">
        <f>($F24*SQRT($D$2-$D$2^2))^2*'User Input'!$C$27</f>
        <v>2.2499999999999999E-2</v>
      </c>
      <c r="AE24" s="15">
        <f t="shared" si="11"/>
        <v>0.56589791614884621</v>
      </c>
      <c r="AF24" s="5"/>
      <c r="AG24" s="5"/>
      <c r="AH24" s="5"/>
      <c r="AI24" s="5"/>
    </row>
    <row r="25" spans="2:35" x14ac:dyDescent="0.25">
      <c r="B25" s="5"/>
      <c r="F25" s="1">
        <v>3.5</v>
      </c>
      <c r="G25" s="15">
        <f t="shared" si="0"/>
        <v>0.1045248577449923</v>
      </c>
      <c r="H25" s="15">
        <f t="shared" si="5"/>
        <v>0.10827477517858596</v>
      </c>
      <c r="I25" s="16">
        <f t="shared" si="6"/>
        <v>5.7321939800427851E-2</v>
      </c>
      <c r="J25" s="26">
        <f t="shared" si="7"/>
        <v>0.27012157272400611</v>
      </c>
      <c r="K25" s="16">
        <f t="shared" si="1"/>
        <v>8.6416117890101174E-2</v>
      </c>
      <c r="L25" s="16">
        <f t="shared" si="2"/>
        <v>6.3691044222697613E-3</v>
      </c>
      <c r="M25" s="16">
        <f t="shared" si="8"/>
        <v>5.7321939800427851E-2</v>
      </c>
      <c r="N25" s="27">
        <f t="shared" si="9"/>
        <v>0.15010716211279879</v>
      </c>
      <c r="O25" s="15">
        <f>$D$7*903040/100*'User Input'!$C$10*'User Input'!$C$19*1000000</f>
        <v>1.1903196E-2</v>
      </c>
      <c r="P25" s="16">
        <f>$D$9*'User Input'!$C$19*1000000*'User Input'!$C$10/4.2*903040/100*($F25-$D$3/2)/0.001*0.000000002/((2.5-$D$8)/($D$6*100/903040*5))</f>
        <v>3.6899811294380757E-4</v>
      </c>
      <c r="Q25" s="16">
        <f>$D$9*'User Input'!$C$19*1000000*'User Input'!$C$10/4.2*903040/100*($F25+$D$3/2)/0.001*0.000000002/(($D$8)/($D$6*100/903040*5))</f>
        <v>1.2161363089683468E-3</v>
      </c>
      <c r="R25" s="15">
        <f>$D$13*485760/100*'User Input'!$C$10*'User Input'!$C$19*1000000</f>
        <v>6.2037624E-3</v>
      </c>
      <c r="S25" s="15">
        <f>'User Input'!$C$10*0.025</f>
        <v>0.125</v>
      </c>
      <c r="T25" s="15">
        <f>0.000000000000000372*2.5^2*'User Input'!$C$10*'User Input'!$C$19*1000000*903040/(5-1)*5</f>
        <v>6.5611499999999982E-3</v>
      </c>
      <c r="U25" s="15">
        <f>0.000000000000000744*2.5^2*'User Input'!$C$10*'User Input'!$C$19*1000000*485760/(5-1)*5</f>
        <v>7.0586999999999993E-3</v>
      </c>
      <c r="V25" s="15">
        <f t="shared" si="3"/>
        <v>4.4636985000000001E-3</v>
      </c>
      <c r="W25" s="1">
        <f t="shared" si="4"/>
        <v>4.6528218E-3</v>
      </c>
      <c r="X25" s="14">
        <f>0.5*0.000000002*(F25+$D$3/2)^2*'User Input'!$C$19*1000000+0.5*0.000000002*(F25-$D$3/2)^2*'User Input'!$C$19*1000000</f>
        <v>1.2449298469387755E-2</v>
      </c>
      <c r="Y25" s="14">
        <f>0.5*0.000000001*(F25+$D$3/2)^2*'User Input'!$C$19*1000000+0.5*0.000000001*(F25-$D$3/2)^2*'User Input'!$C$19*1000000</f>
        <v>6.2246492346938777E-3</v>
      </c>
      <c r="Z25" s="14">
        <f>(1/('User Input'!$C$23*1000000))^2/(2*PI()*'User Input'!$C$21*0.000001)*'User Input'!$C$10^2*'User Input'!$C$19*1000000</f>
        <v>1.4034827433147738E-5</v>
      </c>
      <c r="AA25" s="28">
        <f t="shared" si="10"/>
        <v>0.18611644565342692</v>
      </c>
      <c r="AB25" s="29">
        <f>($F25-$D$3/2+$D$3/SQRT(3))^2*'User Input'!$C$22</f>
        <v>6.6238685991605512E-2</v>
      </c>
      <c r="AC25" s="28">
        <f>($D$3/SQRT(3))^2*'User Input'!$C$28</f>
        <v>2.6573129251700679E-3</v>
      </c>
      <c r="AD25" s="28">
        <f>($F25*SQRT($D$2-$D$2^2))^2*'User Input'!$C$27</f>
        <v>3.0624999999999999E-2</v>
      </c>
      <c r="AE25" s="15">
        <f t="shared" si="11"/>
        <v>0.70586617940700735</v>
      </c>
      <c r="AF25" s="5"/>
      <c r="AG25" s="5"/>
      <c r="AH25" s="5"/>
      <c r="AI25" s="5"/>
    </row>
    <row r="26" spans="2:35" x14ac:dyDescent="0.25">
      <c r="B26" s="5"/>
      <c r="F26" s="1">
        <v>4</v>
      </c>
      <c r="G26" s="15">
        <f t="shared" si="0"/>
        <v>0.13586262230246238</v>
      </c>
      <c r="H26" s="15">
        <f t="shared" si="5"/>
        <v>0.14073680847154293</v>
      </c>
      <c r="I26" s="16">
        <f t="shared" si="6"/>
        <v>7.4507722131993304E-2</v>
      </c>
      <c r="J26" s="26">
        <f t="shared" si="7"/>
        <v>0.35110715290599859</v>
      </c>
      <c r="K26" s="16">
        <f t="shared" si="1"/>
        <v>0.1123246722266921</v>
      </c>
      <c r="L26" s="16">
        <f t="shared" si="2"/>
        <v>8.2786357924437021E-3</v>
      </c>
      <c r="M26" s="16">
        <f t="shared" si="8"/>
        <v>7.4507722131993304E-2</v>
      </c>
      <c r="N26" s="27">
        <f t="shared" si="9"/>
        <v>0.1951110301511291</v>
      </c>
      <c r="O26" s="15">
        <f>$D$7*903040/100*'User Input'!$C$10*'User Input'!$C$19*1000000</f>
        <v>1.1903196E-2</v>
      </c>
      <c r="P26" s="16">
        <f>$D$9*'User Input'!$C$19*1000000*'User Input'!$C$10/4.2*903040/100*($F26-$D$3/2)/0.001*0.000000002/((2.5-$D$8)/($D$6*100/903040*5))</f>
        <v>4.2941885658372923E-4</v>
      </c>
      <c r="Q26" s="16">
        <f>$D$9*'User Input'!$C$19*1000000*'User Input'!$C$10/4.2*903040/100*($F26+$D$3/2)/0.001*0.000000002/(($D$8)/($D$6*100/903040*5))</f>
        <v>1.3702169272991778E-3</v>
      </c>
      <c r="R26" s="15">
        <f>$D$13*485760/100*'User Input'!$C$10*'User Input'!$C$19*1000000</f>
        <v>6.2037624E-3</v>
      </c>
      <c r="S26" s="15">
        <f>'User Input'!$C$10*0.025</f>
        <v>0.125</v>
      </c>
      <c r="T26" s="15">
        <f>0.000000000000000372*2.5^2*'User Input'!$C$10*'User Input'!$C$19*1000000*903040/(5-1)*5</f>
        <v>6.5611499999999982E-3</v>
      </c>
      <c r="U26" s="15">
        <f>0.000000000000000744*2.5^2*'User Input'!$C$10*'User Input'!$C$19*1000000*485760/(5-1)*5</f>
        <v>7.0586999999999993E-3</v>
      </c>
      <c r="V26" s="15">
        <f t="shared" si="3"/>
        <v>4.4636985000000001E-3</v>
      </c>
      <c r="W26" s="1">
        <f t="shared" si="4"/>
        <v>4.6528218E-3</v>
      </c>
      <c r="X26" s="14">
        <f>0.5*0.000000002*(F26+$D$3/2)^2*'User Input'!$C$19*1000000+0.5*0.000000002*(F26-$D$3/2)^2*'User Input'!$C$19*1000000</f>
        <v>1.6199298469387755E-2</v>
      </c>
      <c r="Y26" s="14">
        <f>0.5*0.000000001*(F26+$D$3/2)^2*'User Input'!$C$19*1000000+0.5*0.000000001*(F26-$D$3/2)^2*'User Input'!$C$19*1000000</f>
        <v>8.0996492346938776E-3</v>
      </c>
      <c r="Z26" s="14">
        <f>(1/('User Input'!$C$23*1000000))^2/(2*PI()*'User Input'!$C$21*0.000001)*'User Input'!$C$10^2*'User Input'!$C$19*1000000</f>
        <v>1.4034827433147738E-5</v>
      </c>
      <c r="AA26" s="28">
        <f t="shared" si="10"/>
        <v>0.1919559470153977</v>
      </c>
      <c r="AB26" s="29">
        <f>($F26-$D$3/2+$D$3/SQRT(3))^2*'User Input'!$C$22</f>
        <v>8.6097812241414495E-2</v>
      </c>
      <c r="AC26" s="28">
        <f>($D$3/SQRT(3))^2*'User Input'!$C$28</f>
        <v>2.6573129251700679E-3</v>
      </c>
      <c r="AD26" s="28">
        <f>($F26*SQRT($D$2-$D$2^2))^2*'User Input'!$C$27</f>
        <v>0.04</v>
      </c>
      <c r="AE26" s="15">
        <f t="shared" si="11"/>
        <v>0.86692925523910991</v>
      </c>
      <c r="AF26" s="5"/>
      <c r="AG26" s="5"/>
      <c r="AH26" s="5"/>
      <c r="AI26" s="5"/>
    </row>
    <row r="27" spans="2:35" x14ac:dyDescent="0.25">
      <c r="B27" s="5"/>
      <c r="F27" s="1">
        <v>4.5</v>
      </c>
      <c r="G27" s="15">
        <f t="shared" si="0"/>
        <v>0.17130319515192396</v>
      </c>
      <c r="H27" s="15">
        <f t="shared" si="5"/>
        <v>0.17744884176449993</v>
      </c>
      <c r="I27" s="16">
        <f t="shared" si="6"/>
        <v>9.3943504463558772E-2</v>
      </c>
      <c r="J27" s="26">
        <f t="shared" si="7"/>
        <v>0.44269554137998263</v>
      </c>
      <c r="K27" s="16">
        <f t="shared" si="1"/>
        <v>0.14162523084523296</v>
      </c>
      <c r="L27" s="16">
        <f t="shared" si="2"/>
        <v>1.0438167162617642E-2</v>
      </c>
      <c r="M27" s="16">
        <f t="shared" si="8"/>
        <v>9.3943504463558772E-2</v>
      </c>
      <c r="N27" s="27">
        <f t="shared" si="9"/>
        <v>0.24600690247140938</v>
      </c>
      <c r="O27" s="15">
        <f>$D$7*903040/100*'User Input'!$C$10*'User Input'!$C$19*1000000</f>
        <v>1.1903196E-2</v>
      </c>
      <c r="P27" s="16">
        <f>$D$9*'User Input'!$C$19*1000000*'User Input'!$C$10/4.2*903040/100*($F27-$D$3/2)/0.001*0.000000002/((2.5-$D$8)/($D$6*100/903040*5))</f>
        <v>4.89839600223651E-4</v>
      </c>
      <c r="Q27" s="16">
        <f>$D$9*'User Input'!$C$19*1000000*'User Input'!$C$10/4.2*903040/100*($F27+$D$3/2)/0.001*0.000000002/(($D$8)/($D$6*100/903040*5))</f>
        <v>1.524297545630009E-3</v>
      </c>
      <c r="R27" s="15">
        <f>$D$13*485760/100*'User Input'!$C$10*'User Input'!$C$19*1000000</f>
        <v>6.2037624E-3</v>
      </c>
      <c r="S27" s="15">
        <f>'User Input'!$C$10*0.025</f>
        <v>0.125</v>
      </c>
      <c r="T27" s="15">
        <f>0.000000000000000372*2.5^2*'User Input'!$C$10*'User Input'!$C$19*1000000*903040/(5-1)*5</f>
        <v>6.5611499999999982E-3</v>
      </c>
      <c r="U27" s="15">
        <f>0.000000000000000744*2.5^2*'User Input'!$C$10*'User Input'!$C$19*1000000*485760/(5-1)*5</f>
        <v>7.0586999999999993E-3</v>
      </c>
      <c r="V27" s="15">
        <f t="shared" si="3"/>
        <v>4.4636985000000001E-3</v>
      </c>
      <c r="W27" s="1">
        <f t="shared" si="4"/>
        <v>4.6528218E-3</v>
      </c>
      <c r="X27" s="14">
        <f>0.5*0.000000002*(F27+$D$3/2)^2*'User Input'!$C$19*1000000+0.5*0.000000002*(F27-$D$3/2)^2*'User Input'!$C$19*1000000</f>
        <v>2.0449298469387756E-2</v>
      </c>
      <c r="Y27" s="14">
        <f>0.5*0.000000001*(F27+$D$3/2)^2*'User Input'!$C$19*1000000+0.5*0.000000001*(F27-$D$3/2)^2*'User Input'!$C$19*1000000</f>
        <v>1.0224649234693878E-2</v>
      </c>
      <c r="Z27" s="14">
        <f>(1/('User Input'!$C$23*1000000))^2/(2*PI()*'User Input'!$C$21*0.000001)*'User Input'!$C$10^2*'User Input'!$C$19*1000000</f>
        <v>1.4034827433147738E-5</v>
      </c>
      <c r="AA27" s="28">
        <f t="shared" si="10"/>
        <v>0.19854544837736846</v>
      </c>
      <c r="AB27" s="29">
        <f>($F27-$D$3/2+$D$3/SQRT(3))^2*'User Input'!$C$22</f>
        <v>0.10855693849122347</v>
      </c>
      <c r="AC27" s="28">
        <f>($D$3/SQRT(3))^2*'User Input'!$C$28</f>
        <v>2.6573129251700679E-3</v>
      </c>
      <c r="AD27" s="28">
        <f>($F27*SQRT($D$2-$D$2^2))^2*'User Input'!$C$27</f>
        <v>5.0625000000000003E-2</v>
      </c>
      <c r="AE27" s="15">
        <f t="shared" si="11"/>
        <v>1.0490871436451541</v>
      </c>
      <c r="AF27" s="5"/>
      <c r="AG27" s="5"/>
      <c r="AH27" s="5"/>
      <c r="AI27" s="5"/>
    </row>
    <row r="28" spans="2:35" x14ac:dyDescent="0.25">
      <c r="B28" s="5"/>
      <c r="F28" s="1">
        <v>5</v>
      </c>
      <c r="G28" s="15">
        <f t="shared" si="0"/>
        <v>0.21084657629337705</v>
      </c>
      <c r="H28" s="15">
        <f t="shared" si="5"/>
        <v>0.21841087505745693</v>
      </c>
      <c r="I28" s="16">
        <f t="shared" si="6"/>
        <v>0.11562928679512424</v>
      </c>
      <c r="J28" s="26">
        <f t="shared" si="7"/>
        <v>0.54488673814595823</v>
      </c>
      <c r="K28" s="16">
        <f t="shared" si="1"/>
        <v>0.17431779374572376</v>
      </c>
      <c r="L28" s="16">
        <f t="shared" si="2"/>
        <v>1.2847698532791583E-2</v>
      </c>
      <c r="M28" s="16">
        <f t="shared" si="8"/>
        <v>0.11562928679512424</v>
      </c>
      <c r="N28" s="27">
        <f t="shared" si="9"/>
        <v>0.30279477907363961</v>
      </c>
      <c r="O28" s="15">
        <f>$D$7*903040/100*'User Input'!$C$10*'User Input'!$C$19*1000000</f>
        <v>1.1903196E-2</v>
      </c>
      <c r="P28" s="16">
        <f>$D$9*'User Input'!$C$19*1000000*'User Input'!$C$10/4.2*903040/100*($F28-$D$3/2)/0.001*0.000000002/((2.5-$D$8)/($D$6*100/903040*5))</f>
        <v>5.5026034386357261E-4</v>
      </c>
      <c r="Q28" s="16">
        <f>$D$9*'User Input'!$C$19*1000000*'User Input'!$C$10/4.2*903040/100*($F28+$D$3/2)/0.001*0.000000002/(($D$8)/($D$6*100/903040*5))</f>
        <v>1.6783781639608402E-3</v>
      </c>
      <c r="R28" s="15">
        <f>$D$13*485760/100*'User Input'!$C$10*'User Input'!$C$19*1000000</f>
        <v>6.2037624E-3</v>
      </c>
      <c r="S28" s="15">
        <f>'User Input'!$C$10*0.025</f>
        <v>0.125</v>
      </c>
      <c r="T28" s="15">
        <f>0.000000000000000372*2.5^2*'User Input'!$C$10*'User Input'!$C$19*1000000*903040/(5-1)*5</f>
        <v>6.5611499999999982E-3</v>
      </c>
      <c r="U28" s="15">
        <f>0.000000000000000744*2.5^2*'User Input'!$C$10*'User Input'!$C$19*1000000*485760/(5-1)*5</f>
        <v>7.0586999999999993E-3</v>
      </c>
      <c r="V28" s="15">
        <f t="shared" si="3"/>
        <v>4.4636985000000001E-3</v>
      </c>
      <c r="W28" s="1">
        <f t="shared" si="4"/>
        <v>4.6528218E-3</v>
      </c>
      <c r="X28" s="14">
        <f>0.5*0.000000002*(F28+$D$3/2)^2*'User Input'!$C$19*1000000+0.5*0.000000002*(F28-$D$3/2)^2*'User Input'!$C$19*1000000</f>
        <v>2.519929846938776E-2</v>
      </c>
      <c r="Y28" s="14">
        <f>0.5*0.000000001*(F28+$D$3/2)^2*'User Input'!$C$19*1000000+0.5*0.000000001*(F28-$D$3/2)^2*'User Input'!$C$19*1000000</f>
        <v>1.259964923469388E-2</v>
      </c>
      <c r="Z28" s="14">
        <f>(1/('User Input'!$C$23*1000000))^2/(2*PI()*'User Input'!$C$21*0.000001)*'User Input'!$C$10^2*'User Input'!$C$19*1000000</f>
        <v>1.4034827433147738E-5</v>
      </c>
      <c r="AA28" s="28">
        <f t="shared" si="10"/>
        <v>0.20588494973933921</v>
      </c>
      <c r="AB28" s="29">
        <f>($F28-$D$3/2+$D$3/SQRT(3))^2*'User Input'!$C$22</f>
        <v>0.13361606474103246</v>
      </c>
      <c r="AC28" s="28">
        <f>($D$3/SQRT(3))^2*'User Input'!$C$28</f>
        <v>2.6573129251700679E-3</v>
      </c>
      <c r="AD28" s="28">
        <f>($F28*SQRT($D$2-$D$2^2))^2*'User Input'!$C$27</f>
        <v>6.25E-2</v>
      </c>
      <c r="AE28" s="15">
        <f t="shared" si="11"/>
        <v>1.2523398446251397</v>
      </c>
      <c r="AF28" s="5"/>
      <c r="AG28" s="5"/>
      <c r="AH28" s="5"/>
      <c r="AI28" s="5"/>
    </row>
    <row r="29" spans="2:35" x14ac:dyDescent="0.25">
      <c r="B29" s="5"/>
      <c r="F29" s="1">
        <v>5.5</v>
      </c>
      <c r="G29" s="15">
        <f t="shared" si="0"/>
        <v>0.25449276572682161</v>
      </c>
      <c r="H29" s="15">
        <f t="shared" si="5"/>
        <v>0.26362290835041391</v>
      </c>
      <c r="I29" s="16">
        <f t="shared" si="6"/>
        <v>0.13956506912668967</v>
      </c>
      <c r="J29" s="26">
        <f t="shared" si="7"/>
        <v>0.65768074320392511</v>
      </c>
      <c r="K29" s="16">
        <f t="shared" si="1"/>
        <v>0.21040236092816447</v>
      </c>
      <c r="L29" s="16">
        <f t="shared" si="2"/>
        <v>1.5507229902965523E-2</v>
      </c>
      <c r="M29" s="16">
        <f t="shared" si="8"/>
        <v>0.13956506912668967</v>
      </c>
      <c r="N29" s="27">
        <f t="shared" si="9"/>
        <v>0.36547465995781969</v>
      </c>
      <c r="O29" s="15">
        <f>$D$7*903040/100*'User Input'!$C$10*'User Input'!$C$19*1000000</f>
        <v>1.1903196E-2</v>
      </c>
      <c r="P29" s="16">
        <f>$D$9*'User Input'!$C$19*1000000*'User Input'!$C$10/4.2*903040/100*($F29-$D$3/2)/0.001*0.000000002/((2.5-$D$8)/($D$6*100/903040*5))</f>
        <v>6.1068108750349432E-4</v>
      </c>
      <c r="Q29" s="16">
        <f>$D$9*'User Input'!$C$19*1000000*'User Input'!$C$10/4.2*903040/100*($F29+$D$3/2)/0.001*0.000000002/(($D$8)/($D$6*100/903040*5))</f>
        <v>1.8324587822916715E-3</v>
      </c>
      <c r="R29" s="15">
        <f>$D$13*485760/100*'User Input'!$C$10*'User Input'!$C$19*1000000</f>
        <v>6.2037624E-3</v>
      </c>
      <c r="S29" s="15">
        <f>'User Input'!$C$10*0.025</f>
        <v>0.125</v>
      </c>
      <c r="T29" s="15">
        <f>0.000000000000000372*2.5^2*'User Input'!$C$10*'User Input'!$C$19*1000000*903040/(5-1)*5</f>
        <v>6.5611499999999982E-3</v>
      </c>
      <c r="U29" s="15">
        <f>0.000000000000000744*2.5^2*'User Input'!$C$10*'User Input'!$C$19*1000000*485760/(5-1)*5</f>
        <v>7.0586999999999993E-3</v>
      </c>
      <c r="V29" s="15">
        <f t="shared" si="3"/>
        <v>4.4636985000000001E-3</v>
      </c>
      <c r="W29" s="1">
        <f t="shared" si="4"/>
        <v>4.6528218E-3</v>
      </c>
      <c r="X29" s="14">
        <f>0.5*0.000000002*(F29+$D$3/2)^2*'User Input'!$C$19*1000000+0.5*0.000000002*(F29-$D$3/2)^2*'User Input'!$C$19*1000000</f>
        <v>3.0449298469387761E-2</v>
      </c>
      <c r="Y29" s="14">
        <f>0.5*0.000000001*(F29+$D$3/2)^2*'User Input'!$C$19*1000000+0.5*0.000000001*(F29-$D$3/2)^2*'User Input'!$C$19*1000000</f>
        <v>1.522464923469388E-2</v>
      </c>
      <c r="Z29" s="14">
        <f>(1/('User Input'!$C$23*1000000))^2/(2*PI()*'User Input'!$C$21*0.000001)*'User Input'!$C$10^2*'User Input'!$C$19*1000000</f>
        <v>1.4034827433147738E-5</v>
      </c>
      <c r="AA29" s="28">
        <f t="shared" si="10"/>
        <v>0.21397445110130997</v>
      </c>
      <c r="AB29" s="29">
        <f>($F29-$D$3/2+$D$3/SQRT(3))^2*'User Input'!$C$22</f>
        <v>0.16127519099084142</v>
      </c>
      <c r="AC29" s="28">
        <f>($D$3/SQRT(3))^2*'User Input'!$C$28</f>
        <v>2.6573129251700679E-3</v>
      </c>
      <c r="AD29" s="28">
        <f>($F29*SQRT($D$2-$D$2^2))^2*'User Input'!$C$27</f>
        <v>7.5624999999999998E-2</v>
      </c>
      <c r="AE29" s="15">
        <f t="shared" si="11"/>
        <v>1.4766873581790663</v>
      </c>
      <c r="AF29" s="5"/>
      <c r="AG29" s="5"/>
      <c r="AH29" s="5"/>
      <c r="AI29" s="5"/>
    </row>
    <row r="30" spans="2:35" x14ac:dyDescent="0.25">
      <c r="B30" s="5"/>
      <c r="F30" s="1">
        <v>6</v>
      </c>
      <c r="G30" s="15">
        <f t="shared" si="0"/>
        <v>0.30224176345225773</v>
      </c>
      <c r="H30" s="15">
        <f t="shared" si="5"/>
        <v>0.31308494164337092</v>
      </c>
      <c r="I30" s="16">
        <f t="shared" si="6"/>
        <v>0.16575085145825516</v>
      </c>
      <c r="J30" s="26">
        <f t="shared" si="7"/>
        <v>0.78107755655388378</v>
      </c>
      <c r="K30" s="16">
        <f t="shared" si="1"/>
        <v>0.24987893239255515</v>
      </c>
      <c r="L30" s="16">
        <f t="shared" si="2"/>
        <v>1.8416761273139466E-2</v>
      </c>
      <c r="M30" s="16">
        <f t="shared" si="8"/>
        <v>0.16575085145825516</v>
      </c>
      <c r="N30" s="27">
        <f t="shared" si="9"/>
        <v>0.4340465451239498</v>
      </c>
      <c r="O30" s="15">
        <f>$D$7*903040/100*'User Input'!$C$10*'User Input'!$C$19*1000000</f>
        <v>1.1903196E-2</v>
      </c>
      <c r="P30" s="16">
        <f>$D$9*'User Input'!$C$19*1000000*'User Input'!$C$10/4.2*903040/100*($F30-$D$3/2)/0.001*0.000000002/((2.5-$D$8)/($D$6*100/903040*5))</f>
        <v>6.7110183114341604E-4</v>
      </c>
      <c r="Q30" s="16">
        <f>$D$9*'User Input'!$C$19*1000000*'User Input'!$C$10/4.2*903040/100*($F30+$D$3/2)/0.001*0.000000002/(($D$8)/($D$6*100/903040*5))</f>
        <v>1.9865394006225029E-3</v>
      </c>
      <c r="R30" s="15">
        <f>$D$13*485760/100*'User Input'!$C$10*'User Input'!$C$19*1000000</f>
        <v>6.2037624E-3</v>
      </c>
      <c r="S30" s="15">
        <f>'User Input'!$C$10*0.025</f>
        <v>0.125</v>
      </c>
      <c r="T30" s="15">
        <f>0.000000000000000372*2.5^2*'User Input'!$C$10*'User Input'!$C$19*1000000*903040/(5-1)*5</f>
        <v>6.5611499999999982E-3</v>
      </c>
      <c r="U30" s="15">
        <f>0.000000000000000744*2.5^2*'User Input'!$C$10*'User Input'!$C$19*1000000*485760/(5-1)*5</f>
        <v>7.0586999999999993E-3</v>
      </c>
      <c r="V30" s="15">
        <f t="shared" si="3"/>
        <v>4.4636985000000001E-3</v>
      </c>
      <c r="W30" s="1">
        <f t="shared" si="4"/>
        <v>4.6528218E-3</v>
      </c>
      <c r="X30" s="14">
        <f>0.5*0.000000002*(F30+$D$3/2)^2*'User Input'!$C$19*1000000+0.5*0.000000002*(F30-$D$3/2)^2*'User Input'!$C$19*1000000</f>
        <v>3.6199298469387756E-2</v>
      </c>
      <c r="Y30" s="14">
        <f>0.5*0.000000001*(F30+$D$3/2)^2*'User Input'!$C$19*1000000+0.5*0.000000001*(F30-$D$3/2)^2*'User Input'!$C$19*1000000</f>
        <v>1.8099649234693878E-2</v>
      </c>
      <c r="Z30" s="14">
        <f>(1/('User Input'!$C$23*1000000))^2/(2*PI()*'User Input'!$C$21*0.000001)*'User Input'!$C$10^2*'User Input'!$C$19*1000000</f>
        <v>1.4034827433147738E-5</v>
      </c>
      <c r="AA30" s="28">
        <f t="shared" si="10"/>
        <v>0.2228139524632807</v>
      </c>
      <c r="AB30" s="29">
        <f>($F30-$D$3/2+$D$3/SQRT(3))^2*'User Input'!$C$22</f>
        <v>0.19153431724065043</v>
      </c>
      <c r="AC30" s="28">
        <f>($D$3/SQRT(3))^2*'User Input'!$C$28</f>
        <v>2.6573129251700679E-3</v>
      </c>
      <c r="AD30" s="28">
        <f>($F30*SQRT($D$2-$D$2^2))^2*'User Input'!$C$27</f>
        <v>0.09</v>
      </c>
      <c r="AE30" s="15">
        <f t="shared" si="11"/>
        <v>1.7221296843069349</v>
      </c>
      <c r="AF30" s="5"/>
      <c r="AG30" s="5"/>
      <c r="AH30" s="5"/>
      <c r="AI30" s="5"/>
    </row>
    <row r="31" spans="2:35" x14ac:dyDescent="0.25">
      <c r="B31" s="5"/>
      <c r="F31" s="1">
        <v>6.5</v>
      </c>
      <c r="G31" s="15">
        <f t="shared" si="0"/>
        <v>0.35409356946968523</v>
      </c>
      <c r="H31" s="15">
        <f t="shared" si="5"/>
        <v>0.36679697493632785</v>
      </c>
      <c r="I31" s="16">
        <f t="shared" si="6"/>
        <v>0.1941866337898206</v>
      </c>
      <c r="J31" s="26">
        <f t="shared" si="7"/>
        <v>0.91507717819583367</v>
      </c>
      <c r="K31" s="16">
        <f t="shared" si="1"/>
        <v>0.29274750813889572</v>
      </c>
      <c r="L31" s="16">
        <f t="shared" si="2"/>
        <v>2.1576292643313403E-2</v>
      </c>
      <c r="M31" s="16">
        <f t="shared" si="8"/>
        <v>0.1941866337898206</v>
      </c>
      <c r="N31" s="27">
        <f t="shared" si="9"/>
        <v>0.50851043457202971</v>
      </c>
      <c r="O31" s="15">
        <f>$D$7*903040/100*'User Input'!$C$10*'User Input'!$C$19*1000000</f>
        <v>1.1903196E-2</v>
      </c>
      <c r="P31" s="16">
        <f>$D$9*'User Input'!$C$19*1000000*'User Input'!$C$10/4.2*903040/100*($F31-$D$3/2)/0.001*0.000000002/((2.5-$D$8)/($D$6*100/903040*5))</f>
        <v>7.3152257478333775E-4</v>
      </c>
      <c r="Q31" s="16">
        <f>$D$9*'User Input'!$C$19*1000000*'User Input'!$C$10/4.2*903040/100*($F31+$D$3/2)/0.001*0.000000002/(($D$8)/($D$6*100/903040*5))</f>
        <v>2.1406200189533348E-3</v>
      </c>
      <c r="R31" s="15">
        <f>$D$13*485760/100*'User Input'!$C$10*'User Input'!$C$19*1000000</f>
        <v>6.2037624E-3</v>
      </c>
      <c r="S31" s="15">
        <f>'User Input'!$C$10*0.025</f>
        <v>0.125</v>
      </c>
      <c r="T31" s="15">
        <f>0.000000000000000372*2.5^2*'User Input'!$C$10*'User Input'!$C$19*1000000*903040/(5-1)*5</f>
        <v>6.5611499999999982E-3</v>
      </c>
      <c r="U31" s="15">
        <f>0.000000000000000744*2.5^2*'User Input'!$C$10*'User Input'!$C$19*1000000*485760/(5-1)*5</f>
        <v>7.0586999999999993E-3</v>
      </c>
      <c r="V31" s="15">
        <f t="shared" si="3"/>
        <v>4.4636985000000001E-3</v>
      </c>
      <c r="W31" s="1">
        <f t="shared" si="4"/>
        <v>4.6528218E-3</v>
      </c>
      <c r="X31" s="14">
        <f>0.5*0.000000002*(F31+$D$3/2)^2*'User Input'!$C$19*1000000+0.5*0.000000002*(F31-$D$3/2)^2*'User Input'!$C$19*1000000</f>
        <v>4.2449298469387761E-2</v>
      </c>
      <c r="Y31" s="14">
        <f>0.5*0.000000001*(F31+$D$3/2)^2*'User Input'!$C$19*1000000+0.5*0.000000001*(F31-$D$3/2)^2*'User Input'!$C$19*1000000</f>
        <v>2.1224649234693881E-2</v>
      </c>
      <c r="Z31" s="14">
        <f>(1/('User Input'!$C$23*1000000))^2/(2*PI()*'User Input'!$C$21*0.000001)*'User Input'!$C$10^2*'User Input'!$C$19*1000000</f>
        <v>1.4034827433147738E-5</v>
      </c>
      <c r="AA31" s="28">
        <f t="shared" si="10"/>
        <v>0.23240345382525146</v>
      </c>
      <c r="AB31" s="29">
        <f>($F31-$D$3/2+$D$3/SQRT(3))^2*'User Input'!$C$22</f>
        <v>0.22439344349045937</v>
      </c>
      <c r="AC31" s="28">
        <f>($D$3/SQRT(3))^2*'User Input'!$C$28</f>
        <v>2.6573129251700679E-3</v>
      </c>
      <c r="AD31" s="28">
        <f>($F31*SQRT($D$2-$D$2^2))^2*'User Input'!$C$27</f>
        <v>0.105625</v>
      </c>
      <c r="AE31" s="15">
        <f t="shared" si="11"/>
        <v>1.9886668230087445</v>
      </c>
      <c r="AF31" s="5"/>
      <c r="AG31" s="5"/>
      <c r="AH31" s="5"/>
      <c r="AI31" s="5"/>
    </row>
    <row r="32" spans="2:35" x14ac:dyDescent="0.25">
      <c r="B32" s="5"/>
      <c r="F32" s="1">
        <v>7</v>
      </c>
      <c r="G32" s="15">
        <f t="shared" si="0"/>
        <v>0.41004818377910429</v>
      </c>
      <c r="H32" s="15">
        <f t="shared" si="5"/>
        <v>0.42475900822928486</v>
      </c>
      <c r="I32" s="16">
        <f t="shared" si="6"/>
        <v>0.22487241612138606</v>
      </c>
      <c r="J32" s="26">
        <f t="shared" si="7"/>
        <v>1.0596796081297752</v>
      </c>
      <c r="K32" s="16">
        <f t="shared" si="1"/>
        <v>0.33900808816718625</v>
      </c>
      <c r="L32" s="16">
        <f t="shared" si="2"/>
        <v>2.4985824013487343E-2</v>
      </c>
      <c r="M32" s="16">
        <f t="shared" si="8"/>
        <v>0.22487241612138606</v>
      </c>
      <c r="N32" s="27">
        <f t="shared" si="9"/>
        <v>0.58886632830205965</v>
      </c>
      <c r="O32" s="15">
        <f>$D$7*903040/100*'User Input'!$C$10*'User Input'!$C$19*1000000</f>
        <v>1.1903196E-2</v>
      </c>
      <c r="P32" s="16">
        <f>$D$9*'User Input'!$C$19*1000000*'User Input'!$C$10/4.2*903040/100*($F32-$D$3/2)/0.001*0.000000002/((2.5-$D$8)/($D$6*100/903040*5))</f>
        <v>7.9194331842325936E-4</v>
      </c>
      <c r="Q32" s="16">
        <f>$D$9*'User Input'!$C$19*1000000*'User Input'!$C$10/4.2*903040/100*($F32+$D$3/2)/0.001*0.000000002/(($D$8)/($D$6*100/903040*5))</f>
        <v>2.2947006372841653E-3</v>
      </c>
      <c r="R32" s="15">
        <f>$D$13*485760/100*'User Input'!$C$10*'User Input'!$C$19*1000000</f>
        <v>6.2037624E-3</v>
      </c>
      <c r="S32" s="15">
        <f>'User Input'!$C$10*0.025</f>
        <v>0.125</v>
      </c>
      <c r="T32" s="15">
        <f>0.000000000000000372*2.5^2*'User Input'!$C$10*'User Input'!$C$19*1000000*903040/(5-1)*5</f>
        <v>6.5611499999999982E-3</v>
      </c>
      <c r="U32" s="15">
        <f>0.000000000000000744*2.5^2*'User Input'!$C$10*'User Input'!$C$19*1000000*485760/(5-1)*5</f>
        <v>7.0586999999999993E-3</v>
      </c>
      <c r="V32" s="15">
        <f t="shared" si="3"/>
        <v>4.4636985000000001E-3</v>
      </c>
      <c r="W32" s="1">
        <f t="shared" si="4"/>
        <v>4.6528218E-3</v>
      </c>
      <c r="X32" s="14">
        <f>0.5*0.000000002*(F32+$D$3/2)^2*'User Input'!$C$19*1000000+0.5*0.000000002*(F32-$D$3/2)^2*'User Input'!$C$19*1000000</f>
        <v>4.9199298469387753E-2</v>
      </c>
      <c r="Y32" s="14">
        <f>0.5*0.000000001*(F32+$D$3/2)^2*'User Input'!$C$19*1000000+0.5*0.000000001*(F32-$D$3/2)^2*'User Input'!$C$19*1000000</f>
        <v>2.4599649234693877E-2</v>
      </c>
      <c r="Z32" s="14">
        <f>(1/('User Input'!$C$23*1000000))^2/(2*PI()*'User Input'!$C$21*0.000001)*'User Input'!$C$10^2*'User Input'!$C$19*1000000</f>
        <v>1.4034827433147738E-5</v>
      </c>
      <c r="AA32" s="28">
        <f t="shared" si="10"/>
        <v>0.24274295518722219</v>
      </c>
      <c r="AB32" s="29">
        <f>($F32-$D$3/2+$D$3/SQRT(3))^2*'User Input'!$C$22</f>
        <v>0.25985256974026832</v>
      </c>
      <c r="AC32" s="28">
        <f>($D$3/SQRT(3))^2*'User Input'!$C$28</f>
        <v>2.6573129251700679E-3</v>
      </c>
      <c r="AD32" s="28">
        <f>($F32*SQRT($D$2-$D$2^2))^2*'User Input'!$C$27</f>
        <v>0.1225</v>
      </c>
      <c r="AE32" s="15">
        <f t="shared" si="11"/>
        <v>2.2762987742844953</v>
      </c>
      <c r="AF32" s="5"/>
      <c r="AG32" s="5"/>
      <c r="AH32" s="5"/>
      <c r="AI32" s="5"/>
    </row>
    <row r="33" spans="2:35" x14ac:dyDescent="0.25">
      <c r="B33" s="5"/>
      <c r="F33" s="1">
        <v>7.5</v>
      </c>
      <c r="G33" s="15">
        <f t="shared" si="0"/>
        <v>0.47010560638051485</v>
      </c>
      <c r="H33" s="15">
        <f t="shared" si="5"/>
        <v>0.48697104152224185</v>
      </c>
      <c r="I33" s="16">
        <f t="shared" si="6"/>
        <v>0.2578081984529515</v>
      </c>
      <c r="J33" s="26">
        <f t="shared" si="7"/>
        <v>1.2148848463557083</v>
      </c>
      <c r="K33" s="16">
        <f t="shared" si="1"/>
        <v>0.38866067247742669</v>
      </c>
      <c r="L33" s="16">
        <f t="shared" si="2"/>
        <v>2.8645355383661284E-2</v>
      </c>
      <c r="M33" s="16">
        <f t="shared" si="8"/>
        <v>0.2578081984529515</v>
      </c>
      <c r="N33" s="27">
        <f t="shared" si="9"/>
        <v>0.6751142263140395</v>
      </c>
      <c r="O33" s="15">
        <f>$D$7*903040/100*'User Input'!$C$10*'User Input'!$C$19*1000000</f>
        <v>1.1903196E-2</v>
      </c>
      <c r="P33" s="16">
        <f>$D$9*'User Input'!$C$19*1000000*'User Input'!$C$10/4.2*903040/100*($F33-$D$3/2)/0.001*0.000000002/((2.5-$D$8)/($D$6*100/903040*5))</f>
        <v>8.5236406206318119E-4</v>
      </c>
      <c r="Q33" s="16">
        <f>$D$9*'User Input'!$C$19*1000000*'User Input'!$C$10/4.2*903040/100*($F33+$D$3/2)/0.001*0.000000002/(($D$8)/($D$6*100/903040*5))</f>
        <v>2.4487812556149968E-3</v>
      </c>
      <c r="R33" s="15">
        <f>$D$13*485760/100*'User Input'!$C$10*'User Input'!$C$19*1000000</f>
        <v>6.2037624E-3</v>
      </c>
      <c r="S33" s="15">
        <f>'User Input'!$C$10*0.025</f>
        <v>0.125</v>
      </c>
      <c r="T33" s="15">
        <f>0.000000000000000372*2.5^2*'User Input'!$C$10*'User Input'!$C$19*1000000*903040/(5-1)*5</f>
        <v>6.5611499999999982E-3</v>
      </c>
      <c r="U33" s="15">
        <f>0.000000000000000744*2.5^2*'User Input'!$C$10*'User Input'!$C$19*1000000*485760/(5-1)*5</f>
        <v>7.0586999999999993E-3</v>
      </c>
      <c r="V33" s="15">
        <f t="shared" si="3"/>
        <v>4.4636985000000001E-3</v>
      </c>
      <c r="W33" s="1">
        <f t="shared" si="4"/>
        <v>4.6528218E-3</v>
      </c>
      <c r="X33" s="14">
        <f>0.5*0.000000002*(F33+$D$3/2)^2*'User Input'!$C$19*1000000+0.5*0.000000002*(F33-$D$3/2)^2*'User Input'!$C$19*1000000</f>
        <v>5.644929846938776E-2</v>
      </c>
      <c r="Y33" s="14">
        <f>0.5*0.000000001*(F33+$D$3/2)^2*'User Input'!$C$19*1000000+0.5*0.000000001*(F33-$D$3/2)^2*'User Input'!$C$19*1000000</f>
        <v>2.822464923469388E-2</v>
      </c>
      <c r="Z33" s="14">
        <f>(1/('User Input'!$C$23*1000000))^2/(2*PI()*'User Input'!$C$21*0.000001)*'User Input'!$C$10^2*'User Input'!$C$19*1000000</f>
        <v>1.4034827433147738E-5</v>
      </c>
      <c r="AA33" s="28">
        <f t="shared" si="10"/>
        <v>0.25383245654919301</v>
      </c>
      <c r="AB33" s="29">
        <f>($F33-$D$3/2+$D$3/SQRT(3))^2*'User Input'!$C$22</f>
        <v>0.29791169599007733</v>
      </c>
      <c r="AC33" s="28">
        <f>($D$3/SQRT(3))^2*'User Input'!$C$28</f>
        <v>2.6573129251700679E-3</v>
      </c>
      <c r="AD33" s="28">
        <f>($F33*SQRT($D$2-$D$2^2))^2*'User Input'!$C$27</f>
        <v>0.140625</v>
      </c>
      <c r="AE33" s="15">
        <f t="shared" si="11"/>
        <v>2.5850255381341882</v>
      </c>
      <c r="AF33" s="5"/>
      <c r="AG33" s="5"/>
      <c r="AH33" s="5"/>
      <c r="AI33" s="5"/>
    </row>
    <row r="34" spans="2:35" x14ac:dyDescent="0.25">
      <c r="B34" s="5"/>
      <c r="F34" s="1">
        <v>8</v>
      </c>
      <c r="G34" s="15">
        <f t="shared" si="0"/>
        <v>0.53426583727391685</v>
      </c>
      <c r="H34" s="15">
        <f t="shared" si="5"/>
        <v>0.55343307481519877</v>
      </c>
      <c r="I34" s="16">
        <f t="shared" si="6"/>
        <v>0.29299398078451694</v>
      </c>
      <c r="J34" s="26">
        <f t="shared" si="7"/>
        <v>1.3806928928736326</v>
      </c>
      <c r="K34" s="16">
        <f t="shared" si="1"/>
        <v>0.44170526106961705</v>
      </c>
      <c r="L34" s="16">
        <f t="shared" si="2"/>
        <v>3.2554886753835222E-2</v>
      </c>
      <c r="M34" s="16">
        <f t="shared" si="8"/>
        <v>0.29299398078451694</v>
      </c>
      <c r="N34" s="27">
        <f t="shared" si="9"/>
        <v>0.76725412860796927</v>
      </c>
      <c r="O34" s="15">
        <f>$D$7*903040/100*'User Input'!$C$10*'User Input'!$C$19*1000000</f>
        <v>1.1903196E-2</v>
      </c>
      <c r="P34" s="16">
        <f>$D$9*'User Input'!$C$19*1000000*'User Input'!$C$10/4.2*903040/100*($F34-$D$3/2)/0.001*0.000000002/((2.5-$D$8)/($D$6*100/903040*5))</f>
        <v>9.1278480570310279E-4</v>
      </c>
      <c r="Q34" s="16">
        <f>$D$9*'User Input'!$C$19*1000000*'User Input'!$C$10/4.2*903040/100*($F34+$D$3/2)/0.001*0.000000002/(($D$8)/($D$6*100/903040*5))</f>
        <v>2.6028618739458282E-3</v>
      </c>
      <c r="R34" s="15">
        <f>$D$13*485760/100*'User Input'!$C$10*'User Input'!$C$19*1000000</f>
        <v>6.2037624E-3</v>
      </c>
      <c r="S34" s="15">
        <f>'User Input'!$C$10*0.025</f>
        <v>0.125</v>
      </c>
      <c r="T34" s="15">
        <f>0.000000000000000372*2.5^2*'User Input'!$C$10*'User Input'!$C$19*1000000*903040/(5-1)*5</f>
        <v>6.5611499999999982E-3</v>
      </c>
      <c r="U34" s="15">
        <f>0.000000000000000744*2.5^2*'User Input'!$C$10*'User Input'!$C$19*1000000*485760/(5-1)*5</f>
        <v>7.0586999999999993E-3</v>
      </c>
      <c r="V34" s="15">
        <f t="shared" si="3"/>
        <v>4.4636985000000001E-3</v>
      </c>
      <c r="W34" s="1">
        <f t="shared" si="4"/>
        <v>4.6528218E-3</v>
      </c>
      <c r="X34" s="14">
        <f>0.5*0.000000002*(F34+$D$3/2)^2*'User Input'!$C$19*1000000+0.5*0.000000002*(F34-$D$3/2)^2*'User Input'!$C$19*1000000</f>
        <v>6.4199298469387767E-2</v>
      </c>
      <c r="Y34" s="14">
        <f>0.5*0.000000001*(F34+$D$3/2)^2*'User Input'!$C$19*1000000+0.5*0.000000001*(F34-$D$3/2)^2*'User Input'!$C$19*1000000</f>
        <v>3.2099649234693883E-2</v>
      </c>
      <c r="Z34" s="14">
        <f>(1/('User Input'!$C$23*1000000))^2/(2*PI()*'User Input'!$C$21*0.000001)*'User Input'!$C$10^2*'User Input'!$C$19*1000000</f>
        <v>1.4034827433147738E-5</v>
      </c>
      <c r="AA34" s="28">
        <f t="shared" si="10"/>
        <v>0.26567195791116377</v>
      </c>
      <c r="AB34" s="29">
        <f>($F34-$D$3/2+$D$3/SQRT(3))^2*'User Input'!$C$22</f>
        <v>0.33857082223988627</v>
      </c>
      <c r="AC34" s="28">
        <f>($D$3/SQRT(3))^2*'User Input'!$C$28</f>
        <v>2.6573129251700679E-3</v>
      </c>
      <c r="AD34" s="28">
        <f>($F34*SQRT($D$2-$D$2^2))^2*'User Input'!$C$27</f>
        <v>0.16</v>
      </c>
      <c r="AE34" s="15">
        <f t="shared" si="11"/>
        <v>2.9148471145578219</v>
      </c>
      <c r="AF34" s="5"/>
      <c r="AG34" s="5"/>
      <c r="AH34" s="5"/>
      <c r="AI34" s="5"/>
    </row>
    <row r="35" spans="2:35" x14ac:dyDescent="0.25">
      <c r="B35" s="5"/>
      <c r="F35" s="1">
        <v>8.5</v>
      </c>
      <c r="G35" s="15">
        <f t="shared" si="0"/>
        <v>0.6025288764593103</v>
      </c>
      <c r="H35" s="15">
        <f t="shared" si="5"/>
        <v>0.62414510810815571</v>
      </c>
      <c r="I35" s="16">
        <f t="shared" si="6"/>
        <v>0.33042976311608241</v>
      </c>
      <c r="J35" s="26">
        <f t="shared" si="7"/>
        <v>1.5571037476835485</v>
      </c>
      <c r="K35" s="16">
        <f t="shared" si="1"/>
        <v>0.49814185394375737</v>
      </c>
      <c r="L35" s="16">
        <f t="shared" si="2"/>
        <v>3.6714418124009156E-2</v>
      </c>
      <c r="M35" s="16">
        <f t="shared" si="8"/>
        <v>0.33042976311608241</v>
      </c>
      <c r="N35" s="27">
        <f t="shared" si="9"/>
        <v>0.86528603518384894</v>
      </c>
      <c r="O35" s="15">
        <f>$D$7*903040/100*'User Input'!$C$10*'User Input'!$C$19*1000000</f>
        <v>1.1903196E-2</v>
      </c>
      <c r="P35" s="16">
        <f>$D$9*'User Input'!$C$19*1000000*'User Input'!$C$10/4.2*903040/100*($F35-$D$3/2)/0.001*0.000000002/((2.5-$D$8)/($D$6*100/903040*5))</f>
        <v>9.7320554934302462E-4</v>
      </c>
      <c r="Q35" s="16">
        <f>$D$9*'User Input'!$C$19*1000000*'User Input'!$C$10/4.2*903040/100*($F35+$D$3/2)/0.001*0.000000002/(($D$8)/($D$6*100/903040*5))</f>
        <v>2.7569424922766587E-3</v>
      </c>
      <c r="R35" s="15">
        <f>$D$13*485760/100*'User Input'!$C$10*'User Input'!$C$19*1000000</f>
        <v>6.2037624E-3</v>
      </c>
      <c r="S35" s="15">
        <f>'User Input'!$C$10*0.025</f>
        <v>0.125</v>
      </c>
      <c r="T35" s="15">
        <f>0.000000000000000372*2.5^2*'User Input'!$C$10*'User Input'!$C$19*1000000*903040/(5-1)*5</f>
        <v>6.5611499999999982E-3</v>
      </c>
      <c r="U35" s="15">
        <f>0.000000000000000744*2.5^2*'User Input'!$C$10*'User Input'!$C$19*1000000*485760/(5-1)*5</f>
        <v>7.0586999999999993E-3</v>
      </c>
      <c r="V35" s="15">
        <f t="shared" si="3"/>
        <v>4.4636985000000001E-3</v>
      </c>
      <c r="W35" s="1">
        <f t="shared" si="4"/>
        <v>4.6528218E-3</v>
      </c>
      <c r="X35" s="14">
        <f>0.5*0.000000002*(F35+$D$3/2)^2*'User Input'!$C$19*1000000+0.5*0.000000002*(F35-$D$3/2)^2*'User Input'!$C$19*1000000</f>
        <v>7.2449298469387774E-2</v>
      </c>
      <c r="Y35" s="14">
        <f>0.5*0.000000001*(F35+$D$3/2)^2*'User Input'!$C$19*1000000+0.5*0.000000001*(F35-$D$3/2)^2*'User Input'!$C$19*1000000</f>
        <v>3.6224649234693887E-2</v>
      </c>
      <c r="Z35" s="14">
        <f>(1/('User Input'!$C$23*1000000))^2/(2*PI()*'User Input'!$C$21*0.000001)*'User Input'!$C$10^2*'User Input'!$C$19*1000000</f>
        <v>1.4034827433147738E-5</v>
      </c>
      <c r="AA35" s="28">
        <f t="shared" si="10"/>
        <v>0.2782614592731345</v>
      </c>
      <c r="AB35" s="29">
        <f>($F35-$D$3/2+$D$3/SQRT(3))^2*'User Input'!$C$22</f>
        <v>0.3818299484896952</v>
      </c>
      <c r="AC35" s="28">
        <f>($D$3/SQRT(3))^2*'User Input'!$C$28</f>
        <v>2.6573129251700679E-3</v>
      </c>
      <c r="AD35" s="28">
        <f>($F35*SQRT($D$2-$D$2^2))^2*'User Input'!$C$27</f>
        <v>0.18062500000000001</v>
      </c>
      <c r="AE35" s="15">
        <f t="shared" si="11"/>
        <v>3.2657635035553971</v>
      </c>
      <c r="AF35" s="5"/>
      <c r="AG35" s="5"/>
      <c r="AH35" s="5"/>
      <c r="AI35" s="5"/>
    </row>
    <row r="36" spans="2:35" x14ac:dyDescent="0.25">
      <c r="B36" s="5"/>
      <c r="F36" s="1">
        <v>9</v>
      </c>
      <c r="G36" s="15">
        <f t="shared" si="0"/>
        <v>0.67489472393669536</v>
      </c>
      <c r="H36" s="15">
        <f t="shared" si="5"/>
        <v>0.69910714140111263</v>
      </c>
      <c r="I36" s="16">
        <f t="shared" si="6"/>
        <v>0.3701155454476478</v>
      </c>
      <c r="J36" s="26">
        <f t="shared" si="7"/>
        <v>1.7441174107854556</v>
      </c>
      <c r="K36" s="16">
        <f t="shared" si="1"/>
        <v>0.55797045109984755</v>
      </c>
      <c r="L36" s="16">
        <f t="shared" si="2"/>
        <v>4.1123949494183097E-2</v>
      </c>
      <c r="M36" s="16">
        <f t="shared" si="8"/>
        <v>0.3701155454476478</v>
      </c>
      <c r="N36" s="27">
        <f t="shared" si="9"/>
        <v>0.96920994604167843</v>
      </c>
      <c r="O36" s="15">
        <f>$D$7*903040/100*'User Input'!$C$10*'User Input'!$C$19*1000000</f>
        <v>1.1903196E-2</v>
      </c>
      <c r="P36" s="16">
        <f>$D$9*'User Input'!$C$19*1000000*'User Input'!$C$10/4.2*903040/100*($F36-$D$3/2)/0.001*0.000000002/((2.5-$D$8)/($D$6*100/903040*5))</f>
        <v>1.0336262929829462E-3</v>
      </c>
      <c r="Q36" s="16">
        <f>$D$9*'User Input'!$C$19*1000000*'User Input'!$C$10/4.2*903040/100*($F36+$D$3/2)/0.001*0.000000002/(($D$8)/($D$6*100/903040*5))</f>
        <v>2.9110231106074906E-3</v>
      </c>
      <c r="R36" s="15">
        <f>$D$13*485760/100*'User Input'!$C$10*'User Input'!$C$19*1000000</f>
        <v>6.2037624E-3</v>
      </c>
      <c r="S36" s="15">
        <f>'User Input'!$C$10*0.025</f>
        <v>0.125</v>
      </c>
      <c r="T36" s="15">
        <f>0.000000000000000372*2.5^2*'User Input'!$C$10*'User Input'!$C$19*1000000*903040/(5-1)*5</f>
        <v>6.5611499999999982E-3</v>
      </c>
      <c r="U36" s="15">
        <f>0.000000000000000744*2.5^2*'User Input'!$C$10*'User Input'!$C$19*1000000*485760/(5-1)*5</f>
        <v>7.0586999999999993E-3</v>
      </c>
      <c r="V36" s="15">
        <f t="shared" si="3"/>
        <v>4.4636985000000001E-3</v>
      </c>
      <c r="W36" s="1">
        <f t="shared" si="4"/>
        <v>4.6528218E-3</v>
      </c>
      <c r="X36" s="14">
        <f>0.5*0.000000002*(F36+$D$3/2)^2*'User Input'!$C$19*1000000+0.5*0.000000002*(F36-$D$3/2)^2*'User Input'!$C$19*1000000</f>
        <v>8.1199298469387754E-2</v>
      </c>
      <c r="Y36" s="14">
        <f>0.5*0.000000001*(F36+$D$3/2)^2*'User Input'!$C$19*1000000+0.5*0.000000001*(F36-$D$3/2)^2*'User Input'!$C$19*1000000</f>
        <v>4.0599649234693877E-2</v>
      </c>
      <c r="Z36" s="14">
        <f>(1/('User Input'!$C$23*1000000))^2/(2*PI()*'User Input'!$C$21*0.000001)*'User Input'!$C$10^2*'User Input'!$C$19*1000000</f>
        <v>1.4034827433147738E-5</v>
      </c>
      <c r="AA36" s="28">
        <f t="shared" si="10"/>
        <v>0.29160096063510527</v>
      </c>
      <c r="AB36" s="29">
        <f>($F36-$D$3/2+$D$3/SQRT(3))^2*'User Input'!$C$22</f>
        <v>0.42768907473950418</v>
      </c>
      <c r="AC36" s="28">
        <f>($D$3/SQRT(3))^2*'User Input'!$C$28</f>
        <v>2.6573129251700679E-3</v>
      </c>
      <c r="AD36" s="28">
        <f>($F36*SQRT($D$2-$D$2^2))^2*'User Input'!$C$27</f>
        <v>0.20250000000000001</v>
      </c>
      <c r="AE36" s="15">
        <f t="shared" si="11"/>
        <v>3.6377747051269136</v>
      </c>
      <c r="AF36" s="5"/>
      <c r="AG36" s="5"/>
      <c r="AH36" s="5"/>
      <c r="AI36" s="5"/>
    </row>
    <row r="37" spans="2:35" x14ac:dyDescent="0.25">
      <c r="B37" s="5"/>
      <c r="F37" s="1">
        <v>9.5</v>
      </c>
      <c r="G37" s="15">
        <f t="shared" si="0"/>
        <v>0.75136337970607192</v>
      </c>
      <c r="H37" s="15">
        <f t="shared" si="5"/>
        <v>0.77831917469406975</v>
      </c>
      <c r="I37" s="16">
        <f t="shared" si="6"/>
        <v>0.41205132777921333</v>
      </c>
      <c r="J37" s="26">
        <f t="shared" si="7"/>
        <v>1.9417338821793548</v>
      </c>
      <c r="K37" s="16">
        <f t="shared" si="1"/>
        <v>0.62119105253788787</v>
      </c>
      <c r="L37" s="16">
        <f t="shared" si="2"/>
        <v>4.5783480864357039E-2</v>
      </c>
      <c r="M37" s="16">
        <f t="shared" si="8"/>
        <v>0.41205132777921333</v>
      </c>
      <c r="N37" s="27">
        <f t="shared" si="9"/>
        <v>1.0790258611814583</v>
      </c>
      <c r="O37" s="15">
        <f>$D$7*903040/100*'User Input'!$C$10*'User Input'!$C$19*1000000</f>
        <v>1.1903196E-2</v>
      </c>
      <c r="P37" s="16">
        <f>$D$9*'User Input'!$C$19*1000000*'User Input'!$C$10/4.2*903040/100*($F37-$D$3/2)/0.001*0.000000002/((2.5-$D$8)/($D$6*100/903040*5))</f>
        <v>1.0940470366228678E-3</v>
      </c>
      <c r="Q37" s="16">
        <f>$D$9*'User Input'!$C$19*1000000*'User Input'!$C$10/4.2*903040/100*($F37+$D$3/2)/0.001*0.000000002/(($D$8)/($D$6*100/903040*5))</f>
        <v>3.0651037289383216E-3</v>
      </c>
      <c r="R37" s="15">
        <f>$D$13*485760/100*'User Input'!$C$10*'User Input'!$C$19*1000000</f>
        <v>6.2037624E-3</v>
      </c>
      <c r="S37" s="15">
        <f>'User Input'!$C$10*0.025</f>
        <v>0.125</v>
      </c>
      <c r="T37" s="15">
        <f>0.000000000000000372*2.5^2*'User Input'!$C$10*'User Input'!$C$19*1000000*903040/(5-1)*5</f>
        <v>6.5611499999999982E-3</v>
      </c>
      <c r="U37" s="15">
        <f>0.000000000000000744*2.5^2*'User Input'!$C$10*'User Input'!$C$19*1000000*485760/(5-1)*5</f>
        <v>7.0586999999999993E-3</v>
      </c>
      <c r="V37" s="15">
        <f t="shared" si="3"/>
        <v>4.4636985000000001E-3</v>
      </c>
      <c r="W37" s="1">
        <f t="shared" si="4"/>
        <v>4.6528218E-3</v>
      </c>
      <c r="X37" s="14">
        <f>0.5*0.000000002*(F37+$D$3/2)^2*'User Input'!$C$19*1000000+0.5*0.000000002*(F37-$D$3/2)^2*'User Input'!$C$19*1000000</f>
        <v>9.0449298469387762E-2</v>
      </c>
      <c r="Y37" s="14">
        <f>0.5*0.000000001*(F37+$D$3/2)^2*'User Input'!$C$19*1000000+0.5*0.000000001*(F37-$D$3/2)^2*'User Input'!$C$19*1000000</f>
        <v>4.5224649234693881E-2</v>
      </c>
      <c r="Z37" s="14">
        <f>(1/('User Input'!$C$23*1000000))^2/(2*PI()*'User Input'!$C$21*0.000001)*'User Input'!$C$10^2*'User Input'!$C$19*1000000</f>
        <v>1.4034827433147738E-5</v>
      </c>
      <c r="AA37" s="28">
        <f t="shared" si="10"/>
        <v>0.305690461997076</v>
      </c>
      <c r="AB37" s="29">
        <f>($F37-$D$3/2+$D$3/SQRT(3))^2*'User Input'!$C$22</f>
        <v>0.47614820098931315</v>
      </c>
      <c r="AC37" s="28">
        <f>($D$3/SQRT(3))^2*'User Input'!$C$28</f>
        <v>2.6573129251700679E-3</v>
      </c>
      <c r="AD37" s="28">
        <f>($F37*SQRT($D$2-$D$2^2))^2*'User Input'!$C$27</f>
        <v>0.22562499999999999</v>
      </c>
      <c r="AE37" s="15">
        <f t="shared" si="11"/>
        <v>4.0308807192723721</v>
      </c>
      <c r="AF37" s="5"/>
      <c r="AG37" s="5"/>
      <c r="AH37" s="5"/>
      <c r="AI37" s="5"/>
    </row>
    <row r="38" spans="2:35" x14ac:dyDescent="0.25">
      <c r="B38" s="5"/>
      <c r="F38" s="1">
        <v>10</v>
      </c>
      <c r="G38" s="15">
        <f t="shared" si="0"/>
        <v>0.83193484376743987</v>
      </c>
      <c r="H38" s="15">
        <f t="shared" si="5"/>
        <v>0.86178120798702662</v>
      </c>
      <c r="I38" s="16">
        <f t="shared" si="6"/>
        <v>0.45623711011077872</v>
      </c>
      <c r="J38" s="26">
        <f t="shared" si="7"/>
        <v>2.1499531618652452</v>
      </c>
      <c r="K38" s="16">
        <f t="shared" si="1"/>
        <v>0.68780365825787793</v>
      </c>
      <c r="L38" s="16">
        <f t="shared" si="2"/>
        <v>5.0693012234530974E-2</v>
      </c>
      <c r="M38" s="16">
        <f t="shared" si="8"/>
        <v>0.45623711011077872</v>
      </c>
      <c r="N38" s="27">
        <f t="shared" si="9"/>
        <v>1.1947337806031877</v>
      </c>
      <c r="O38" s="15">
        <f>$D$7*903040/100*'User Input'!$C$10*'User Input'!$C$19*1000000</f>
        <v>1.1903196E-2</v>
      </c>
      <c r="P38" s="16">
        <f>$D$9*'User Input'!$C$19*1000000*'User Input'!$C$10/4.2*903040/100*($F38-$D$3/2)/0.001*0.000000002/((2.5-$D$8)/($D$6*100/903040*5))</f>
        <v>1.1544677802627899E-3</v>
      </c>
      <c r="Q38" s="16">
        <f>$D$9*'User Input'!$C$19*1000000*'User Input'!$C$10/4.2*903040/100*($F38+$D$3/2)/0.001*0.000000002/(($D$8)/($D$6*100/903040*5))</f>
        <v>3.219184347269153E-3</v>
      </c>
      <c r="R38" s="15">
        <f>$D$13*485760/100*'User Input'!$C$10*'User Input'!$C$19*1000000</f>
        <v>6.2037624E-3</v>
      </c>
      <c r="S38" s="15">
        <f>'User Input'!$C$10*0.025</f>
        <v>0.125</v>
      </c>
      <c r="T38" s="15">
        <f>0.000000000000000372*2.5^2*'User Input'!$C$10*'User Input'!$C$19*1000000*903040/(5-1)*5</f>
        <v>6.5611499999999982E-3</v>
      </c>
      <c r="U38" s="15">
        <f>0.000000000000000744*2.5^2*'User Input'!$C$10*'User Input'!$C$19*1000000*485760/(5-1)*5</f>
        <v>7.0586999999999993E-3</v>
      </c>
      <c r="V38" s="15">
        <f t="shared" si="3"/>
        <v>4.4636985000000001E-3</v>
      </c>
      <c r="W38" s="1">
        <f t="shared" si="4"/>
        <v>4.6528218E-3</v>
      </c>
      <c r="X38" s="14">
        <f>0.5*0.000000002*(F38+$D$3/2)^2*'User Input'!$C$19*1000000+0.5*0.000000002*(F38-$D$3/2)^2*'User Input'!$C$19*1000000</f>
        <v>0.10019929846938774</v>
      </c>
      <c r="Y38" s="14">
        <f>0.5*0.000000001*(F38+$D$3/2)^2*'User Input'!$C$19*1000000+0.5*0.000000001*(F38-$D$3/2)^2*'User Input'!$C$19*1000000</f>
        <v>5.0099649234693872E-2</v>
      </c>
      <c r="Z38" s="14">
        <f>(1/('User Input'!$C$23*1000000))^2/(2*PI()*'User Input'!$C$21*0.000001)*'User Input'!$C$10^2*'User Input'!$C$19*1000000</f>
        <v>1.4034827433147738E-5</v>
      </c>
      <c r="AA38" s="28">
        <f t="shared" si="10"/>
        <v>0.32052996335904677</v>
      </c>
      <c r="AB38" s="29">
        <f>($F38-$D$3/2+$D$3/SQRT(3))^2*'User Input'!$C$22</f>
        <v>0.52720732723912211</v>
      </c>
      <c r="AC38" s="28">
        <f>($D$3/SQRT(3))^2*'User Input'!$C$28</f>
        <v>2.6573129251700679E-3</v>
      </c>
      <c r="AD38" s="28">
        <f>($F38*SQRT($D$2-$D$2^2))^2*'User Input'!$C$27</f>
        <v>0.25</v>
      </c>
      <c r="AE38" s="15">
        <f t="shared" si="11"/>
        <v>4.4450815459917719</v>
      </c>
      <c r="AF38" s="5"/>
      <c r="AG38" s="5"/>
      <c r="AH38" s="5"/>
      <c r="AI38" s="5"/>
    </row>
    <row r="39" spans="2:35" x14ac:dyDescent="0.25">
      <c r="B39" s="5"/>
      <c r="G39" s="15"/>
      <c r="H39" s="16"/>
      <c r="I39" s="16"/>
      <c r="J39" s="27"/>
      <c r="K39" s="16"/>
      <c r="L39" s="16"/>
      <c r="M39" s="16"/>
      <c r="N39" s="27"/>
      <c r="O39" s="15"/>
      <c r="P39" s="16"/>
      <c r="Q39" s="16"/>
      <c r="R39" s="15"/>
      <c r="S39" s="15"/>
      <c r="T39" s="15"/>
      <c r="U39" s="15"/>
      <c r="X39" s="14"/>
      <c r="Y39" s="14"/>
      <c r="Z39" s="14"/>
      <c r="AA39" s="29"/>
      <c r="AB39" s="29"/>
      <c r="AC39" s="28"/>
      <c r="AD39" s="28"/>
      <c r="AE39" s="15"/>
      <c r="AF39" s="5"/>
      <c r="AG39" s="5"/>
      <c r="AH39" s="5"/>
      <c r="AI39" s="5"/>
    </row>
    <row r="40" spans="2:35" x14ac:dyDescent="0.25">
      <c r="B40" s="5"/>
      <c r="J40" s="27"/>
      <c r="N40" s="27"/>
      <c r="AA40" s="29"/>
      <c r="AB40" s="29"/>
      <c r="AC40" s="29"/>
      <c r="AD40" s="29"/>
      <c r="AF40" s="5"/>
      <c r="AG40" s="5"/>
      <c r="AH40" s="5"/>
      <c r="AI40" s="5"/>
    </row>
    <row r="41" spans="2:35" x14ac:dyDescent="0.25">
      <c r="B41" s="5"/>
      <c r="J41" s="27"/>
      <c r="N41" s="27"/>
      <c r="AA41" s="29"/>
      <c r="AB41" s="29"/>
      <c r="AC41" s="29"/>
      <c r="AD41" s="29"/>
      <c r="AF41" s="5"/>
      <c r="AG41" s="5"/>
      <c r="AH41" s="5"/>
      <c r="AI41" s="5"/>
    </row>
    <row r="42" spans="2:35" x14ac:dyDescent="0.25">
      <c r="B42" s="5"/>
      <c r="J42" s="27"/>
      <c r="N42" s="27"/>
      <c r="AA42" s="29"/>
      <c r="AB42" s="29"/>
      <c r="AC42" s="29"/>
      <c r="AD42" s="29"/>
      <c r="AF42" s="5"/>
      <c r="AG42" s="5"/>
      <c r="AH42" s="5"/>
      <c r="AI42" s="5"/>
    </row>
    <row r="43" spans="2:35" x14ac:dyDescent="0.25">
      <c r="B43" s="5"/>
      <c r="J43" s="27"/>
      <c r="N43" s="27"/>
      <c r="AA43" s="29"/>
      <c r="AB43" s="29"/>
      <c r="AC43" s="29"/>
      <c r="AD43" s="29"/>
      <c r="AF43" s="5"/>
      <c r="AG43" s="5"/>
      <c r="AH43" s="5"/>
      <c r="AI43" s="5"/>
    </row>
    <row r="44" spans="2:35" x14ac:dyDescent="0.25">
      <c r="B44" s="5"/>
      <c r="J44" s="27"/>
      <c r="N44" s="27"/>
      <c r="AA44" s="29"/>
      <c r="AB44" s="29"/>
      <c r="AC44" s="29"/>
      <c r="AD44" s="29"/>
      <c r="AF44" s="5"/>
      <c r="AG44" s="5"/>
      <c r="AH44" s="5"/>
      <c r="AI44" s="5"/>
    </row>
    <row r="45" spans="2:35" x14ac:dyDescent="0.25">
      <c r="B45" s="5"/>
      <c r="D45" s="1" t="s">
        <v>69</v>
      </c>
      <c r="F45" s="1" t="s">
        <v>70</v>
      </c>
      <c r="G45" s="1" t="s">
        <v>1</v>
      </c>
      <c r="H45" s="20" t="s">
        <v>12</v>
      </c>
      <c r="I45" s="20" t="s">
        <v>14</v>
      </c>
      <c r="J45" s="25" t="s">
        <v>29</v>
      </c>
      <c r="K45" s="1" t="s">
        <v>5</v>
      </c>
      <c r="L45" s="20" t="s">
        <v>13</v>
      </c>
      <c r="M45" s="20" t="s">
        <v>15</v>
      </c>
      <c r="N45" s="25" t="s">
        <v>30</v>
      </c>
      <c r="O45" s="1" t="s">
        <v>2</v>
      </c>
      <c r="P45" s="1" t="s">
        <v>3</v>
      </c>
      <c r="Q45" s="1" t="s">
        <v>4</v>
      </c>
      <c r="R45" s="1" t="s">
        <v>6</v>
      </c>
      <c r="S45" s="1" t="s">
        <v>7</v>
      </c>
      <c r="T45" s="1" t="s">
        <v>8</v>
      </c>
      <c r="U45" s="1" t="s">
        <v>9</v>
      </c>
      <c r="V45" s="1" t="s">
        <v>10</v>
      </c>
      <c r="W45" s="1" t="s">
        <v>11</v>
      </c>
      <c r="X45" s="1" t="s">
        <v>16</v>
      </c>
      <c r="Y45" s="20" t="s">
        <v>17</v>
      </c>
      <c r="Z45" s="20" t="s">
        <v>18</v>
      </c>
      <c r="AA45" s="25" t="s">
        <v>31</v>
      </c>
      <c r="AB45" s="29" t="s">
        <v>73</v>
      </c>
      <c r="AC45" s="29" t="s">
        <v>74</v>
      </c>
      <c r="AD45" s="29" t="s">
        <v>75</v>
      </c>
      <c r="AE45" s="1" t="s">
        <v>76</v>
      </c>
      <c r="AF45" s="5"/>
      <c r="AG45" s="5"/>
      <c r="AH45" s="5"/>
      <c r="AI45" s="5"/>
    </row>
    <row r="46" spans="2:35" x14ac:dyDescent="0.25">
      <c r="B46" s="5"/>
      <c r="F46" s="1">
        <f>F19</f>
        <v>0.5</v>
      </c>
      <c r="G46" s="15">
        <f>G19/($F46*'User Input'!$C$13+$AE19)</f>
        <v>1.8549974724837326E-3</v>
      </c>
      <c r="H46" s="15">
        <f>H19/($F46*'User Input'!$C$13+$AE19)</f>
        <v>1.9215470714155924E-3</v>
      </c>
      <c r="I46" s="15">
        <f>I19/($F46*'User Input'!$C$13+$AE19)</f>
        <v>1.0172896260435486E-3</v>
      </c>
      <c r="J46" s="28">
        <f>J19/($F46*'User Input'!$C$13+$AE19)</f>
        <v>4.7938341699428734E-3</v>
      </c>
      <c r="K46" s="15">
        <f>K19/($F46*'User Input'!$C$13+$AE19)</f>
        <v>1.5336225633435399E-3</v>
      </c>
      <c r="L46" s="15">
        <f>L19/($F46*'User Input'!$C$13+$AE19)</f>
        <v>1.1303218067150542E-4</v>
      </c>
      <c r="M46" s="15">
        <f>M19/($F46*'User Input'!$C$13+$AE19)</f>
        <v>1.0172896260435486E-3</v>
      </c>
      <c r="N46" s="28">
        <f>N19/($F46*'User Input'!$C$13+$AE19)</f>
        <v>2.6639443700585941E-3</v>
      </c>
      <c r="O46" s="15">
        <f>O19/($F46*'User Input'!$C$13+$AE19)</f>
        <v>8.3095094292719909E-3</v>
      </c>
      <c r="P46" s="15">
        <f>P19/($F46*'User Input'!$C$13+$AE19)</f>
        <v>4.5191950878410727E-6</v>
      </c>
      <c r="Q46" s="15">
        <f>Q19/($F46*'User Input'!$C$13+$AE19)</f>
        <v>2.0359994251324651E-4</v>
      </c>
      <c r="R46" s="15">
        <f>R19/($F46*'User Input'!$C$13+$AE19)</f>
        <v>4.3307883159920272E-3</v>
      </c>
      <c r="S46" s="15">
        <f>S19/($F46*'User Input'!$C$13+$AE19)</f>
        <v>8.726132701326593E-2</v>
      </c>
      <c r="T46" s="15">
        <f>T19/($F46*'User Input'!$C$13+$AE19)</f>
        <v>4.5802772458647164E-3</v>
      </c>
      <c r="U46" s="15">
        <f>U19/($F46*'User Input'!$C$13+$AE19)</f>
        <v>4.9276122319083212E-3</v>
      </c>
      <c r="V46" s="15">
        <f>V19/($F46*'User Input'!$C$13+$AE19)</f>
        <v>3.1160660359769968E-3</v>
      </c>
      <c r="W46" s="15">
        <f>W19/($F46*'User Input'!$C$13+$AE19)</f>
        <v>3.2480912369940206E-3</v>
      </c>
      <c r="X46" s="15">
        <f>X19/($F46*'User Input'!$C$13+$AE19)</f>
        <v>3.1365104531043799E-4</v>
      </c>
      <c r="Y46" s="15">
        <f>Y19/($F46*'User Input'!$C$13+$AE19)</f>
        <v>1.5682552265521899E-4</v>
      </c>
      <c r="Z46" s="15">
        <f>Z19/($F46*'User Input'!$C$13+$AE19)</f>
        <v>9.7975813297492832E-6</v>
      </c>
      <c r="AA46" s="28">
        <f>AA19/($F46*'User Input'!$C$13+$AE19)</f>
        <v>0.11646206479617049</v>
      </c>
      <c r="AB46" s="28">
        <f>AB19/($F46*'User Input'!$C$13+$AE19)</f>
        <v>1.1755346789836564E-3</v>
      </c>
      <c r="AC46" s="28">
        <f>AC19/($F46*'User Input'!$C$13+$AE19)</f>
        <v>1.8550452171187484E-3</v>
      </c>
      <c r="AD46" s="28">
        <f>AD19/($F46*'User Input'!$C$13+$AE19)</f>
        <v>4.3630663506632962E-4</v>
      </c>
      <c r="AE46" s="23">
        <f>AE19/($F46*'User Input'!$C$13+$AE19)</f>
        <v>0.1273867298673407</v>
      </c>
      <c r="AF46" s="18"/>
      <c r="AG46" s="24">
        <f t="shared" ref="AG46:AG65" si="12">1-AE46</f>
        <v>0.87261327013265932</v>
      </c>
      <c r="AH46" s="5"/>
      <c r="AI46" s="5"/>
    </row>
    <row r="47" spans="2:35" x14ac:dyDescent="0.25">
      <c r="B47" s="5"/>
      <c r="F47" s="1">
        <f t="shared" ref="F47:F65" si="13">F20</f>
        <v>1</v>
      </c>
      <c r="G47" s="15">
        <f>G20/($F47*'User Input'!$C$13+$AE20)</f>
        <v>3.4516939903272009E-3</v>
      </c>
      <c r="H47" s="15">
        <f>H20/($F47*'User Input'!$C$13+$AE20)</f>
        <v>3.5755264235780228E-3</v>
      </c>
      <c r="I47" s="15">
        <f>I20/($F47*'User Input'!$C$13+$AE20)</f>
        <v>1.8929257536589531E-3</v>
      </c>
      <c r="J47" s="28">
        <f>J20/($F47*'User Input'!$C$13+$AE20)</f>
        <v>8.9201461675641781E-3</v>
      </c>
      <c r="K47" s="15">
        <f>K20/($F47*'User Input'!$C$13+$AE20)</f>
        <v>2.8536943385886557E-3</v>
      </c>
      <c r="L47" s="15">
        <f>L20/($F47*'User Input'!$C$13+$AE20)</f>
        <v>2.1032508373988368E-4</v>
      </c>
      <c r="M47" s="15">
        <f>M20/($F47*'User Input'!$C$13+$AE20)</f>
        <v>1.8929257536589531E-3</v>
      </c>
      <c r="N47" s="28">
        <f>N20/($F47*'User Input'!$C$13+$AE20)</f>
        <v>4.9569451759874927E-3</v>
      </c>
      <c r="O47" s="15">
        <f>O20/($F47*'User Input'!$C$13+$AE20)</f>
        <v>4.3810505473643319E-3</v>
      </c>
      <c r="P47" s="15">
        <f>P20/($F47*'User Input'!$C$13+$AE20)</f>
        <v>2.4620927413921343E-5</v>
      </c>
      <c r="Q47" s="15">
        <f>Q20/($F47*'User Input'!$C$13+$AE20)</f>
        <v>1.6405507862701736E-4</v>
      </c>
      <c r="R47" s="15">
        <f>R20/($F47*'User Input'!$C$13+$AE20)</f>
        <v>2.2833360601840261E-3</v>
      </c>
      <c r="S47" s="15">
        <f>S20/($F47*'User Input'!$C$13+$AE20)</f>
        <v>4.6007082334907488E-2</v>
      </c>
      <c r="T47" s="15">
        <f>T20/($F47*'User Input'!$C$13+$AE20)</f>
        <v>2.4148749460934254E-3</v>
      </c>
      <c r="U47" s="15">
        <f>U20/($F47*'User Input'!$C$13+$AE20)</f>
        <v>2.5980015366192915E-3</v>
      </c>
      <c r="V47" s="15">
        <f>V20/($F47*'User Input'!$C$13+$AE20)</f>
        <v>1.6428939552616244E-3</v>
      </c>
      <c r="W47" s="15">
        <f>W20/($F47*'User Input'!$C$13+$AE20)</f>
        <v>1.7125020451380197E-3</v>
      </c>
      <c r="X47" s="15">
        <f>X20/($F47*'User Input'!$C$13+$AE20)</f>
        <v>4.4140978740200783E-4</v>
      </c>
      <c r="Y47" s="15">
        <f>Y20/($F47*'User Input'!$C$13+$AE20)</f>
        <v>2.2070489370100391E-4</v>
      </c>
      <c r="Z47" s="15">
        <f>Z20/($F47*'User Input'!$C$13+$AE20)</f>
        <v>5.1656116901843703E-6</v>
      </c>
      <c r="AA47" s="28">
        <f>AA20/($F47*'User Input'!$C$13+$AE20)</f>
        <v>6.1895697724402343E-2</v>
      </c>
      <c r="AB47" s="28">
        <f>AB20/($F47*'User Input'!$C$13+$AE20)</f>
        <v>2.1873808708947899E-3</v>
      </c>
      <c r="AC47" s="28">
        <f>AC20/($F47*'User Input'!$C$13+$AE20)</f>
        <v>9.7804171630330532E-4</v>
      </c>
      <c r="AD47" s="28">
        <f>AD20/($F47*'User Input'!$C$13+$AE20)</f>
        <v>9.2014164669814975E-4</v>
      </c>
      <c r="AE47" s="23">
        <f>AE20/($F47*'User Input'!$C$13+$AE20)</f>
        <v>7.985835330185026E-2</v>
      </c>
      <c r="AF47" s="5"/>
      <c r="AG47" s="24">
        <f t="shared" si="12"/>
        <v>0.9201416466981498</v>
      </c>
      <c r="AH47" s="5"/>
      <c r="AI47" s="5"/>
    </row>
    <row r="48" spans="2:35" x14ac:dyDescent="0.25">
      <c r="B48" s="5"/>
      <c r="F48" s="1">
        <f t="shared" si="13"/>
        <v>1.5</v>
      </c>
      <c r="G48" s="15">
        <f>G21/($F48*'User Input'!$C$13+$AE21)</f>
        <v>5.0221432077110469E-3</v>
      </c>
      <c r="H48" s="15">
        <f>H21/($F48*'User Input'!$C$13+$AE21)</f>
        <v>5.2023168312384307E-3</v>
      </c>
      <c r="I48" s="15">
        <f>I21/($F48*'User Input'!$C$13+$AE21)</f>
        <v>2.7541677341850514E-3</v>
      </c>
      <c r="J48" s="28">
        <f>J21/($F48*'User Input'!$C$13+$AE21)</f>
        <v>1.2978627773134528E-2</v>
      </c>
      <c r="K48" s="15">
        <f>K21/($F48*'User Input'!$C$13+$AE21)</f>
        <v>4.1520661100284632E-3</v>
      </c>
      <c r="L48" s="15">
        <f>L21/($F48*'User Input'!$C$13+$AE21)</f>
        <v>3.0601863713167237E-4</v>
      </c>
      <c r="M48" s="15">
        <f>M21/($F48*'User Input'!$C$13+$AE21)</f>
        <v>2.7541677341850514E-3</v>
      </c>
      <c r="N48" s="28">
        <f>N21/($F48*'User Input'!$C$13+$AE21)</f>
        <v>7.2122524813451874E-3</v>
      </c>
      <c r="O48" s="15">
        <f>O21/($F48*'User Input'!$C$13+$AE21)</f>
        <v>2.9591081491398535E-3</v>
      </c>
      <c r="P48" s="15">
        <f>P21/($F48*'User Input'!$C$13+$AE21)</f>
        <v>3.1650261282878969E-5</v>
      </c>
      <c r="Q48" s="15">
        <f>Q21/($F48*'User Input'!$C$13+$AE21)</f>
        <v>1.4911239040540176E-4</v>
      </c>
      <c r="R48" s="15">
        <f>R21/($F48*'User Input'!$C$13+$AE21)</f>
        <v>1.5422415856352711E-3</v>
      </c>
      <c r="S48" s="15">
        <f>S21/($F48*'User Input'!$C$13+$AE21)</f>
        <v>3.1074723010734405E-2</v>
      </c>
      <c r="T48" s="15">
        <f>T21/($F48*'User Input'!$C$13+$AE21)</f>
        <v>1.6310873510550399E-3</v>
      </c>
      <c r="U48" s="15">
        <f>U21/($F48*'User Input'!$C$13+$AE21)</f>
        <v>1.7547771785269674E-3</v>
      </c>
      <c r="V48" s="15">
        <f>V21/($F48*'User Input'!$C$13+$AE21)</f>
        <v>1.1096655559274451E-3</v>
      </c>
      <c r="W48" s="15">
        <f>W21/($F48*'User Input'!$C$13+$AE21)</f>
        <v>1.1566811892264534E-3</v>
      </c>
      <c r="X48" s="15">
        <f>X21/($F48*'User Input'!$C$13+$AE21)</f>
        <v>6.0889017205472188E-4</v>
      </c>
      <c r="Y48" s="15">
        <f>Y21/($F48*'User Input'!$C$13+$AE21)</f>
        <v>3.0444508602736094E-4</v>
      </c>
      <c r="Z48" s="15">
        <f>Z21/($F48*'User Input'!$C$13+$AE21)</f>
        <v>3.48902699990818E-6</v>
      </c>
      <c r="AA48" s="28">
        <f>AA21/($F48*'User Input'!$C$13+$AE21)</f>
        <v>4.2325870957015704E-2</v>
      </c>
      <c r="AB48" s="28">
        <f>AB21/($F48*'User Input'!$C$13+$AE21)</f>
        <v>3.1825938261693921E-3</v>
      </c>
      <c r="AC48" s="28">
        <f>AC21/($F48*'User Input'!$C$13+$AE21)</f>
        <v>6.606021048200341E-4</v>
      </c>
      <c r="AD48" s="28">
        <f>AD21/($F48*'User Input'!$C$13+$AE21)</f>
        <v>1.3983625354830481E-3</v>
      </c>
      <c r="AE48" s="23">
        <f>AE21/($F48*'User Input'!$C$13+$AE21)</f>
        <v>6.7758309677967893E-2</v>
      </c>
      <c r="AF48" s="5"/>
      <c r="AG48" s="24">
        <f t="shared" si="12"/>
        <v>0.93224169032203208</v>
      </c>
      <c r="AH48" s="5"/>
      <c r="AI48" s="5"/>
    </row>
    <row r="49" spans="2:35" x14ac:dyDescent="0.25">
      <c r="B49" s="5"/>
      <c r="F49" s="1">
        <f t="shared" si="13"/>
        <v>2</v>
      </c>
      <c r="G49" s="15">
        <f>G22/($F49*'User Input'!$C$13+$AE22)</f>
        <v>6.5669843858914469E-3</v>
      </c>
      <c r="H49" s="15">
        <f>H22/($F49*'User Input'!$C$13+$AE22)</f>
        <v>6.8025804896897453E-3</v>
      </c>
      <c r="I49" s="15">
        <f>I22/($F49*'User Input'!$C$13+$AE22)</f>
        <v>3.6013661416004535E-3</v>
      </c>
      <c r="J49" s="28">
        <f>J22/($F49*'User Input'!$C$13+$AE22)</f>
        <v>1.6970931017181647E-2</v>
      </c>
      <c r="K49" s="15">
        <f>K22/($F49*'User Input'!$C$13+$AE22)</f>
        <v>5.4292663880792227E-3</v>
      </c>
      <c r="L49" s="15">
        <f>L22/($F49*'User Input'!$C$13+$AE22)</f>
        <v>4.0015179351116152E-4</v>
      </c>
      <c r="M49" s="15">
        <f>M22/($F49*'User Input'!$C$13+$AE22)</f>
        <v>3.6013661416004535E-3</v>
      </c>
      <c r="N49" s="28">
        <f>N22/($F49*'User Input'!$C$13+$AE22)</f>
        <v>9.4307843231908363E-3</v>
      </c>
      <c r="O49" s="15">
        <f>O22/($F49*'User Input'!$C$13+$AE22)</f>
        <v>2.2252101294598999E-3</v>
      </c>
      <c r="P49" s="15">
        <f>P22/($F49*'User Input'!$C$13+$AE22)</f>
        <v>3.5095766409541437E-5</v>
      </c>
      <c r="Q49" s="15">
        <f>Q22/($F49*'User Input'!$C$13+$AE22)</f>
        <v>1.4093471833369022E-4</v>
      </c>
      <c r="R49" s="15">
        <f>R22/($F49*'User Input'!$C$13+$AE22)</f>
        <v>1.1597452426426028E-3</v>
      </c>
      <c r="S49" s="15">
        <f>S22/($F49*'User Input'!$C$13+$AE22)</f>
        <v>2.3367780063647405E-2</v>
      </c>
      <c r="T49" s="15">
        <f>T22/($F49*'User Input'!$C$13+$AE22)</f>
        <v>1.2265560813168009E-3</v>
      </c>
      <c r="U49" s="15">
        <f>U22/($F49*'User Input'!$C$13+$AE22)</f>
        <v>1.3195691930821432E-3</v>
      </c>
      <c r="V49" s="15">
        <f>V22/($F49*'User Input'!$C$13+$AE22)</f>
        <v>8.344537985474625E-4</v>
      </c>
      <c r="W49" s="15">
        <f>W22/($F49*'User Input'!$C$13+$AE22)</f>
        <v>8.6980893198195213E-4</v>
      </c>
      <c r="X49" s="15">
        <f>X22/($F49*'User Input'!$C$13+$AE22)</f>
        <v>7.850262644341139E-4</v>
      </c>
      <c r="Y49" s="15">
        <f>Y22/($F49*'User Input'!$C$13+$AE22)</f>
        <v>3.9251313221705695E-4</v>
      </c>
      <c r="Z49" s="15">
        <f>Z22/($F49*'User Input'!$C$13+$AE22)</f>
        <v>2.6237020855123311E-6</v>
      </c>
      <c r="AA49" s="28">
        <f>AA22/($F49*'User Input'!$C$13+$AE22)</f>
        <v>3.2359317024158181E-2</v>
      </c>
      <c r="AB49" s="28">
        <f>AB22/($F49*'User Input'!$C$13+$AE22)</f>
        <v>4.1615786525160793E-3</v>
      </c>
      <c r="AC49" s="28">
        <f>AC22/($F49*'User Input'!$C$13+$AE22)</f>
        <v>4.9676403196529338E-4</v>
      </c>
      <c r="AD49" s="28">
        <f>AD22/($F49*'User Input'!$C$13+$AE22)</f>
        <v>1.8694224050917923E-3</v>
      </c>
      <c r="AE49" s="23">
        <f>AE22/($F49*'User Input'!$C$13+$AE22)</f>
        <v>6.528879745410382E-2</v>
      </c>
      <c r="AF49" s="5"/>
      <c r="AG49" s="24">
        <f t="shared" si="12"/>
        <v>0.93471120254589612</v>
      </c>
      <c r="AH49" s="5"/>
      <c r="AI49" s="5"/>
    </row>
    <row r="50" spans="2:35" x14ac:dyDescent="0.25">
      <c r="B50" s="5"/>
      <c r="F50" s="1">
        <f t="shared" si="13"/>
        <v>2.5</v>
      </c>
      <c r="G50" s="15">
        <f>G23/($F50*'User Input'!$C$13+$AE23)</f>
        <v>8.086838234697899E-3</v>
      </c>
      <c r="H50" s="15">
        <f>H23/($F50*'User Input'!$C$13+$AE23)</f>
        <v>8.3769603772501401E-3</v>
      </c>
      <c r="I50" s="15">
        <f>I23/($F50*'User Input'!$C$13+$AE23)</f>
        <v>4.4348613761912492E-3</v>
      </c>
      <c r="J50" s="28">
        <f>J23/($F50*'User Input'!$C$13+$AE23)</f>
        <v>2.0898659988139289E-2</v>
      </c>
      <c r="K50" s="15">
        <f>K23/($F50*'User Input'!$C$13+$AE23)</f>
        <v>6.6858083457311552E-3</v>
      </c>
      <c r="L50" s="15">
        <f>L23/($F50*'User Input'!$C$13+$AE23)</f>
        <v>4.9276237513236115E-4</v>
      </c>
      <c r="M50" s="15">
        <f>M23/($F50*'User Input'!$C$13+$AE23)</f>
        <v>4.4348613761912492E-3</v>
      </c>
      <c r="N50" s="28">
        <f>N23/($F50*'User Input'!$C$13+$AE23)</f>
        <v>1.1613432097054765E-2</v>
      </c>
      <c r="O50" s="15">
        <f>O23/($F50*'User Input'!$C$13+$AE23)</f>
        <v>1.7773857720518539E-3</v>
      </c>
      <c r="P50" s="15">
        <f>P23/($F50*'User Input'!$C$13+$AE23)</f>
        <v>3.7054758713166432E-5</v>
      </c>
      <c r="Q50" s="15">
        <f>Q23/($F50*'User Input'!$C$13+$AE23)</f>
        <v>1.3557887939471497E-4</v>
      </c>
      <c r="R50" s="15">
        <f>R23/($F50*'User Input'!$C$13+$AE23)</f>
        <v>9.2634608578656208E-4</v>
      </c>
      <c r="S50" s="15">
        <f>S23/($F50*'User Input'!$C$13+$AE23)</f>
        <v>1.8665005726737738E-2</v>
      </c>
      <c r="T50" s="15">
        <f>T23/($F50*'User Input'!$C$13+$AE23)</f>
        <v>9.7971121859188231E-4</v>
      </c>
      <c r="U50" s="15">
        <f>U23/($F50*'User Input'!$C$13+$AE23)</f>
        <v>1.0540054073865893E-3</v>
      </c>
      <c r="V50" s="15">
        <f>V23/($F50*'User Input'!$C$13+$AE23)</f>
        <v>6.6651966451944519E-4</v>
      </c>
      <c r="W50" s="15">
        <f>W23/($F50*'User Input'!$C$13+$AE23)</f>
        <v>6.9475956433992156E-4</v>
      </c>
      <c r="X50" s="15">
        <f>X23/($F50*'User Input'!$C$13+$AE23)</f>
        <v>9.6300954291650702E-4</v>
      </c>
      <c r="Y50" s="15">
        <f>Y23/($F50*'User Input'!$C$13+$AE23)</f>
        <v>4.8150477145825351E-4</v>
      </c>
      <c r="Z50" s="15">
        <f>Z23/($F50*'User Input'!$C$13+$AE23)</f>
        <v>2.0956810753078276E-6</v>
      </c>
      <c r="AA50" s="28">
        <f>AA23/($F50*'User Input'!$C$13+$AE23)</f>
        <v>2.6382977072971939E-2</v>
      </c>
      <c r="AB50" s="28">
        <f>AB23/($F50*'User Input'!$C$13+$AE23)</f>
        <v>5.1247287013765561E-3</v>
      </c>
      <c r="AC50" s="28">
        <f>AC23/($F50*'User Input'!$C$13+$AE23)</f>
        <v>3.9679008772826823E-4</v>
      </c>
      <c r="AD50" s="28">
        <f>AD23/($F50*'User Input'!$C$13+$AE23)</f>
        <v>2.3331257158422172E-3</v>
      </c>
      <c r="AE50" s="23">
        <f>AE23/($F50*'User Input'!$C$13+$AE23)</f>
        <v>6.6749713663113025E-2</v>
      </c>
      <c r="AF50" s="5"/>
      <c r="AG50" s="24">
        <f t="shared" si="12"/>
        <v>0.933250286336887</v>
      </c>
      <c r="AH50" s="5"/>
      <c r="AI50" s="5"/>
    </row>
    <row r="51" spans="2:35" x14ac:dyDescent="0.25">
      <c r="B51" s="5"/>
      <c r="F51" s="1">
        <f t="shared" si="13"/>
        <v>3</v>
      </c>
      <c r="G51" s="15">
        <f>G24/($F51*'User Input'!$C$13+$AE24)</f>
        <v>9.5823059358054272E-3</v>
      </c>
      <c r="H51" s="15">
        <f>H24/($F51*'User Input'!$C$13+$AE24)</f>
        <v>9.9260792434942985E-3</v>
      </c>
      <c r="I51" s="15">
        <f>I24/($F51*'User Input'!$C$13+$AE24)</f>
        <v>5.2549831289087452E-3</v>
      </c>
      <c r="J51" s="28">
        <f>J24/($F51*'User Input'!$C$13+$AE24)</f>
        <v>2.4763368308208467E-2</v>
      </c>
      <c r="K51" s="15">
        <f>K24/($F51*'User Input'!$C$13+$AE24)</f>
        <v>7.9221890110369453E-3</v>
      </c>
      <c r="L51" s="15">
        <f>L24/($F51*'User Input'!$C$13+$AE24)</f>
        <v>5.8388701432319384E-4</v>
      </c>
      <c r="M51" s="15">
        <f>M24/($F51*'User Input'!$C$13+$AE24)</f>
        <v>5.2549831289087452E-3</v>
      </c>
      <c r="N51" s="28">
        <f>N24/($F51*'User Input'!$C$13+$AE24)</f>
        <v>1.3761059154268885E-2</v>
      </c>
      <c r="O51" s="15">
        <f>O24/($F51*'User Input'!$C$13+$AE24)</f>
        <v>1.4757434477528468E-3</v>
      </c>
      <c r="P51" s="15">
        <f>P24/($F51*'User Input'!$C$13+$AE24)</f>
        <v>3.8257038771353515E-5</v>
      </c>
      <c r="Q51" s="15">
        <f>Q24/($F51*'User Input'!$C$13+$AE24)</f>
        <v>1.316723446885137E-4</v>
      </c>
      <c r="R51" s="15">
        <f>R24/($F51*'User Input'!$C$13+$AE24)</f>
        <v>7.6913475281894681E-4</v>
      </c>
      <c r="S51" s="15">
        <f>S24/($F51*'User Input'!$C$13+$AE24)</f>
        <v>1.5497344660132107E-2</v>
      </c>
      <c r="T51" s="15">
        <f>T24/($F51*'User Input'!$C$13+$AE24)</f>
        <v>8.1344322333460597E-4</v>
      </c>
      <c r="U51" s="15">
        <f>U24/($F51*'User Input'!$C$13+$AE24)</f>
        <v>8.7512885401979594E-4</v>
      </c>
      <c r="V51" s="15">
        <f>V24/($F51*'User Input'!$C$13+$AE24)</f>
        <v>5.5340379290731755E-4</v>
      </c>
      <c r="W51" s="15">
        <f>W24/($F51*'User Input'!$C$13+$AE24)</f>
        <v>5.7685106461421011E-4</v>
      </c>
      <c r="X51" s="15">
        <f>X24/($F51*'User Input'!$C$13+$AE24)</f>
        <v>1.1405175920922224E-3</v>
      </c>
      <c r="Y51" s="15">
        <f>Y24/($F51*'User Input'!$C$13+$AE24)</f>
        <v>5.7025879604611122E-4</v>
      </c>
      <c r="Z51" s="15">
        <f>Z24/($F51*'User Input'!$C$13+$AE24)</f>
        <v>1.7400204638157417E-6</v>
      </c>
      <c r="AA51" s="28">
        <f>AA24/($F51*'User Input'!$C$13+$AE24)</f>
        <v>2.2443495587641849E-2</v>
      </c>
      <c r="AB51" s="28">
        <f>AB24/($F51*'User Input'!$C$13+$AE24)</f>
        <v>6.0724249489612159E-3</v>
      </c>
      <c r="AC51" s="28">
        <f>AC24/($F51*'User Input'!$C$13+$AE24)</f>
        <v>3.2945035416947506E-4</v>
      </c>
      <c r="AD51" s="28">
        <f>AD24/($F51*'User Input'!$C$13+$AE24)</f>
        <v>2.7895220388237793E-3</v>
      </c>
      <c r="AE51" s="23">
        <f>AE24/($F51*'User Input'!$C$13+$AE24)</f>
        <v>7.0159320392073676E-2</v>
      </c>
      <c r="AF51" s="5"/>
      <c r="AG51" s="24">
        <f t="shared" si="12"/>
        <v>0.92984067960792638</v>
      </c>
      <c r="AH51" s="5"/>
      <c r="AI51" s="5"/>
    </row>
    <row r="52" spans="2:35" x14ac:dyDescent="0.25">
      <c r="B52" s="5"/>
      <c r="F52" s="1">
        <f t="shared" si="13"/>
        <v>3.5</v>
      </c>
      <c r="G52" s="15">
        <f>G25/($F52*'User Input'!$C$13+$AE25)</f>
        <v>1.1053969648240859E-2</v>
      </c>
      <c r="H52" s="15">
        <f>H25/($F52*'User Input'!$C$13+$AE25)</f>
        <v>1.1450540132895161E-2</v>
      </c>
      <c r="I52" s="15">
        <f>I25/($F52*'User Input'!$C$13+$AE25)</f>
        <v>6.0620506585915548E-3</v>
      </c>
      <c r="J52" s="28">
        <f>J25/($F52*'User Input'!$C$13+$AE25)</f>
        <v>2.8566560439727572E-2</v>
      </c>
      <c r="K52" s="15">
        <f>K25/($F52*'User Input'!$C$13+$AE25)</f>
        <v>9.1388896850399873E-3</v>
      </c>
      <c r="L52" s="15">
        <f>L25/($F52*'User Input'!$C$13+$AE25)</f>
        <v>6.735611842879505E-4</v>
      </c>
      <c r="M52" s="15">
        <f>M25/($F52*'User Input'!$C$13+$AE25)</f>
        <v>6.0620506585915548E-3</v>
      </c>
      <c r="N52" s="28">
        <f>N25/($F52*'User Input'!$C$13+$AE25)</f>
        <v>1.5874501527919492E-2</v>
      </c>
      <c r="O52" s="15">
        <f>O25/($F52*'User Input'!$C$13+$AE25)</f>
        <v>1.258816038019107E-3</v>
      </c>
      <c r="P52" s="15">
        <f>P25/($F52*'User Input'!$C$13+$AE25)</f>
        <v>3.9023195331106943E-5</v>
      </c>
      <c r="Q52" s="15">
        <f>Q25/($F52*'User Input'!$C$13+$AE25)</f>
        <v>1.2861183585876558E-4</v>
      </c>
      <c r="R52" s="15">
        <f>R25/($F52*'User Input'!$C$13+$AE25)</f>
        <v>6.5607552838581394E-4</v>
      </c>
      <c r="S52" s="15">
        <f>S25/($F52*'User Input'!$C$13+$AE25)</f>
        <v>1.3219307213994325E-2</v>
      </c>
      <c r="T52" s="15">
        <f>T25/($F52*'User Input'!$C$13+$AE25)</f>
        <v>6.9387086021679067E-4</v>
      </c>
      <c r="U52" s="15">
        <f>U25/($F52*'User Input'!$C$13+$AE25)</f>
        <v>7.4648899065137388E-4</v>
      </c>
      <c r="V52" s="15">
        <f>V25/($F52*'User Input'!$C$13+$AE25)</f>
        <v>4.7205601425716516E-4</v>
      </c>
      <c r="W52" s="15">
        <f>W25/($F52*'User Input'!$C$13+$AE25)</f>
        <v>4.9205664628936051E-4</v>
      </c>
      <c r="X52" s="15">
        <f>X25/($F52*'User Input'!$C$13+$AE25)</f>
        <v>1.3165688085243685E-3</v>
      </c>
      <c r="Y52" s="15">
        <f>Y25/($F52*'User Input'!$C$13+$AE25)</f>
        <v>6.5828440426218425E-4</v>
      </c>
      <c r="Z52" s="15">
        <f>Z25/($F52*'User Input'!$C$13+$AE25)</f>
        <v>1.4842455642734028E-6</v>
      </c>
      <c r="AA52" s="28">
        <f>AA25/($F52*'User Input'!$C$13+$AE25)</f>
        <v>1.9682643781354633E-2</v>
      </c>
      <c r="AB52" s="28">
        <f>AB25/($F52*'User Input'!$C$13+$AE25)</f>
        <v>7.0050363165946846E-3</v>
      </c>
      <c r="AC52" s="28">
        <f>AC25/($F52*'User Input'!$C$13+$AE25)</f>
        <v>2.8102268737232835E-4</v>
      </c>
      <c r="AD52" s="28">
        <f>AD25/($F52*'User Input'!$C$13+$AE25)</f>
        <v>3.2387302674286096E-3</v>
      </c>
      <c r="AE52" s="23">
        <f>AE25/($F52*'User Input'!$C$13+$AE25)</f>
        <v>7.4648495020397318E-2</v>
      </c>
      <c r="AF52" s="5"/>
      <c r="AG52" s="24">
        <f t="shared" si="12"/>
        <v>0.92535150497960272</v>
      </c>
      <c r="AH52" s="5"/>
      <c r="AI52" s="5"/>
    </row>
    <row r="53" spans="2:35" x14ac:dyDescent="0.25">
      <c r="B53" s="5"/>
      <c r="F53" s="1">
        <f t="shared" si="13"/>
        <v>4</v>
      </c>
      <c r="G53" s="15">
        <f>G26/($F53*'User Input'!$C$13+$AE26)</f>
        <v>1.25023931886702E-2</v>
      </c>
      <c r="H53" s="15">
        <f>H26/($F53*'User Input'!$C$13+$AE26)</f>
        <v>1.2950927089517179E-2</v>
      </c>
      <c r="I53" s="15">
        <f>I26/($F53*'User Input'!$C$13+$AE26)</f>
        <v>6.8563731650385052E-3</v>
      </c>
      <c r="J53" s="28">
        <f>J26/($F53*'User Input'!$C$13+$AE26)</f>
        <v>3.230969344322588E-2</v>
      </c>
      <c r="K53" s="15">
        <f>K26/($F53*'User Input'!$C$13+$AE26)</f>
        <v>1.0336376504203217E-2</v>
      </c>
      <c r="L53" s="15">
        <f>L26/($F53*'User Input'!$C$13+$AE26)</f>
        <v>7.6181924055983405E-4</v>
      </c>
      <c r="M53" s="15">
        <f>M26/($F53*'User Input'!$C$13+$AE26)</f>
        <v>6.8563731650385052E-3</v>
      </c>
      <c r="N53" s="28">
        <f>N26/($F53*'User Input'!$C$13+$AE26)</f>
        <v>1.7954568909801554E-2</v>
      </c>
      <c r="O53" s="15">
        <f>O26/($F53*'User Input'!$C$13+$AE26)</f>
        <v>1.0953596660492925E-3</v>
      </c>
      <c r="P53" s="15">
        <f>P26/($F53*'User Input'!$C$13+$AE26)</f>
        <v>3.951611780086816E-5</v>
      </c>
      <c r="Q53" s="15">
        <f>Q26/($F53*'User Input'!$C$13+$AE26)</f>
        <v>1.2609053534038382E-4</v>
      </c>
      <c r="R53" s="15">
        <f>R26/($F53*'User Input'!$C$13+$AE26)</f>
        <v>5.7088458517470081E-4</v>
      </c>
      <c r="S53" s="15">
        <f>S26/($F53*'User Input'!$C$13+$AE26)</f>
        <v>1.1502789524440459E-2</v>
      </c>
      <c r="T53" s="15">
        <f>T26/($F53*'User Input'!$C$13+$AE26)</f>
        <v>6.0377221990626001E-4</v>
      </c>
      <c r="U53" s="15">
        <f>U26/($F53*'User Input'!$C$13+$AE26)</f>
        <v>6.4955792332934293E-4</v>
      </c>
      <c r="V53" s="15">
        <f>V26/($F53*'User Input'!$C$13+$AE26)</f>
        <v>4.1075987476848472E-4</v>
      </c>
      <c r="W53" s="15">
        <f>W26/($F53*'User Input'!$C$13+$AE26)</f>
        <v>4.2816343888102561E-4</v>
      </c>
      <c r="X53" s="15">
        <f>X26/($F53*'User Input'!$C$13+$AE26)</f>
        <v>1.4906969658956626E-3</v>
      </c>
      <c r="Y53" s="15">
        <f>Y26/($F53*'User Input'!$C$13+$AE26)</f>
        <v>7.4534848294783131E-4</v>
      </c>
      <c r="Z53" s="15">
        <f>Z26/($F53*'User Input'!$C$13+$AE26)</f>
        <v>1.2915173278027311E-6</v>
      </c>
      <c r="AA53" s="28">
        <f>AA26/($F53*'User Input'!$C$13+$AE26)</f>
        <v>1.7664230851862115E-2</v>
      </c>
      <c r="AB53" s="28">
        <f>AB26/($F53*'User Input'!$C$13+$AE26)</f>
        <v>7.9229201018222728E-3</v>
      </c>
      <c r="AC53" s="28">
        <f>AC26/($F53*'User Input'!$C$13+$AE26)</f>
        <v>2.445320902304519E-4</v>
      </c>
      <c r="AD53" s="28">
        <f>AD26/($F53*'User Input'!$C$13+$AE26)</f>
        <v>3.6808926478209469E-3</v>
      </c>
      <c r="AE53" s="23">
        <f>AE26/($F53*'User Input'!$C$13+$AE26)</f>
        <v>7.9776838044763224E-2</v>
      </c>
      <c r="AF53" s="5"/>
      <c r="AG53" s="24">
        <f t="shared" si="12"/>
        <v>0.92022316195523679</v>
      </c>
      <c r="AH53" s="5"/>
      <c r="AI53" s="5"/>
    </row>
    <row r="54" spans="2:35" x14ac:dyDescent="0.25">
      <c r="B54" s="5"/>
      <c r="F54" s="1">
        <f t="shared" si="13"/>
        <v>4.5</v>
      </c>
      <c r="G54" s="15">
        <f>G27/($F54*'User Input'!$C$13+$AE27)</f>
        <v>1.3928122725793924E-2</v>
      </c>
      <c r="H54" s="15">
        <f>H27/($F54*'User Input'!$C$13+$AE27)</f>
        <v>1.4427805876323627E-2</v>
      </c>
      <c r="I54" s="15">
        <f>I27/($F54*'User Input'!$C$13+$AE27)</f>
        <v>7.6382501698183895E-3</v>
      </c>
      <c r="J54" s="28">
        <f>J27/($F54*'User Input'!$C$13+$AE27)</f>
        <v>3.599417877193594E-2</v>
      </c>
      <c r="K54" s="15">
        <f>K27/($F54*'User Input'!$C$13+$AE27)</f>
        <v>1.1515101014501686E-2</v>
      </c>
      <c r="L54" s="15">
        <f>L27/($F54*'User Input'!$C$13+$AE27)</f>
        <v>8.4869446331315443E-4</v>
      </c>
      <c r="M54" s="15">
        <f>M27/($F54*'User Input'!$C$13+$AE27)</f>
        <v>7.6382501698183895E-3</v>
      </c>
      <c r="N54" s="28">
        <f>N27/($F54*'User Input'!$C$13+$AE27)</f>
        <v>2.0002045647633231E-2</v>
      </c>
      <c r="O54" s="15">
        <f>O27/($F54*'User Input'!$C$13+$AE27)</f>
        <v>9.6781133924644892E-4</v>
      </c>
      <c r="P54" s="15">
        <f>P27/($F54*'User Input'!$C$13+$AE27)</f>
        <v>3.982731356422232E-5</v>
      </c>
      <c r="Q54" s="15">
        <f>Q27/($F54*'User Input'!$C$13+$AE27)</f>
        <v>1.2393582774292334E-4</v>
      </c>
      <c r="R54" s="15">
        <f>R27/($F54*'User Input'!$C$13+$AE27)</f>
        <v>5.0440836198200592E-4</v>
      </c>
      <c r="S54" s="15">
        <f>S27/($F54*'User Input'!$C$13+$AE27)</f>
        <v>1.0163355909270597E-2</v>
      </c>
      <c r="T54" s="15">
        <f>T27/($F54*'User Input'!$C$13+$AE27)</f>
        <v>5.3346642099288608E-4</v>
      </c>
      <c r="U54" s="15">
        <f>U27/($F54*'User Input'!$C$13+$AE27)</f>
        <v>5.7392064285414677E-4</v>
      </c>
      <c r="V54" s="15">
        <f>V27/($F54*'User Input'!$C$13+$AE27)</f>
        <v>3.629292522174184E-4</v>
      </c>
      <c r="W54" s="15">
        <f>W27/($F54*'User Input'!$C$13+$AE27)</f>
        <v>3.7830627148650441E-4</v>
      </c>
      <c r="X54" s="15">
        <f>X27/($F54*'User Input'!$C$13+$AE27)</f>
        <v>1.6626679875143217E-3</v>
      </c>
      <c r="Y54" s="15">
        <f>Y27/($F54*'User Input'!$C$13+$AE27)</f>
        <v>8.3133399375716083E-4</v>
      </c>
      <c r="Z54" s="15">
        <f>Z27/($F54*'User Input'!$C$13+$AE27)</f>
        <v>1.1411275706262011E-6</v>
      </c>
      <c r="AA54" s="28">
        <f>AA27/($F54*'User Input'!$C$13+$AE27)</f>
        <v>1.6143104448199261E-2</v>
      </c>
      <c r="AB54" s="28">
        <f>AB27/($F54*'User Input'!$C$13+$AE27)</f>
        <v>8.8264224184568061E-3</v>
      </c>
      <c r="AC54" s="28">
        <f>AC27/($F54*'User Input'!$C$13+$AE27)</f>
        <v>2.1605773616646676E-4</v>
      </c>
      <c r="AD54" s="28">
        <f>AD27/($F54*'User Input'!$C$13+$AE27)</f>
        <v>4.1161591432545917E-3</v>
      </c>
      <c r="AE54" s="23">
        <f>AE27/($F54*'User Input'!$C$13+$AE27)</f>
        <v>8.5297968165646304E-2</v>
      </c>
      <c r="AF54" s="5"/>
      <c r="AG54" s="24">
        <f t="shared" si="12"/>
        <v>0.91470203183435372</v>
      </c>
      <c r="AH54" s="5"/>
      <c r="AI54" s="5"/>
    </row>
    <row r="55" spans="2:35" x14ac:dyDescent="0.25">
      <c r="B55" s="5"/>
      <c r="F55" s="1">
        <f t="shared" si="13"/>
        <v>5</v>
      </c>
      <c r="G55" s="15">
        <f>G28/($F55*'User Input'!$C$13+$AE28)</f>
        <v>1.5331687456500919E-2</v>
      </c>
      <c r="H55" s="15">
        <f>H28/($F55*'User Input'!$C$13+$AE28)</f>
        <v>1.588172467558813E-2</v>
      </c>
      <c r="I55" s="15">
        <f>I28/($F55*'User Input'!$C$13+$AE28)</f>
        <v>8.4079718870760673E-3</v>
      </c>
      <c r="J55" s="28">
        <f>J28/($F55*'User Input'!$C$13+$AE28)</f>
        <v>3.9621384019165116E-2</v>
      </c>
      <c r="K55" s="15">
        <f>K28/($F55*'User Input'!$C$13+$AE28)</f>
        <v>1.2675500730434086E-2</v>
      </c>
      <c r="L55" s="15">
        <f>L28/($F55*'User Input'!$C$13+$AE28)</f>
        <v>9.3421909856400756E-4</v>
      </c>
      <c r="M55" s="15">
        <f>M28/($F55*'User Input'!$C$13+$AE28)</f>
        <v>8.4079718870760673E-3</v>
      </c>
      <c r="N55" s="28">
        <f>N28/($F55*'User Input'!$C$13+$AE28)</f>
        <v>2.2017691716074164E-2</v>
      </c>
      <c r="O55" s="15">
        <f>O28/($F55*'User Input'!$C$13+$AE28)</f>
        <v>8.6553969248019669E-4</v>
      </c>
      <c r="P55" s="15">
        <f>P28/($F55*'User Input'!$C$13+$AE28)</f>
        <v>4.0012125215087101E-5</v>
      </c>
      <c r="Q55" s="15">
        <f>Q28/($F55*'User Input'!$C$13+$AE28)</f>
        <v>1.2204309833259427E-4</v>
      </c>
      <c r="R55" s="15">
        <f>R28/($F55*'User Input'!$C$13+$AE28)</f>
        <v>4.5110595506586693E-4</v>
      </c>
      <c r="S55" s="15">
        <f>S28/($F55*'User Input'!$C$13+$AE28)</f>
        <v>9.0893623494080564E-3</v>
      </c>
      <c r="T55" s="15">
        <f>T28/($F55*'User Input'!$C$13+$AE28)</f>
        <v>4.7709335823054928E-4</v>
      </c>
      <c r="U55" s="15">
        <f>U28/($F55*'User Input'!$C$13+$AE28)</f>
        <v>5.1327265612613319E-4</v>
      </c>
      <c r="V55" s="15">
        <f>V28/($F55*'User Input'!$C$13+$AE28)</f>
        <v>3.2457738468007376E-4</v>
      </c>
      <c r="W55" s="15">
        <f>W28/($F55*'User Input'!$C$13+$AE28)</f>
        <v>3.3832946629940019E-4</v>
      </c>
      <c r="X55" s="15">
        <f>X28/($F55*'User Input'!$C$13+$AE28)</f>
        <v>1.8323644379131935E-3</v>
      </c>
      <c r="Y55" s="15">
        <f>Y28/($F55*'User Input'!$C$13+$AE28)</f>
        <v>9.1618221895659675E-4</v>
      </c>
      <c r="Z55" s="15">
        <f>Z28/($F55*'User Input'!$C$13+$AE28)</f>
        <v>1.020541056410339E-6</v>
      </c>
      <c r="AA55" s="28">
        <f>AA28/($F55*'User Input'!$C$13+$AE28)</f>
        <v>1.497090328376416E-2</v>
      </c>
      <c r="AB55" s="28">
        <f>AB28/($F55*'User Input'!$C$13+$AE28)</f>
        <v>9.7158786250656787E-3</v>
      </c>
      <c r="AC55" s="28">
        <f>AC28/($F55*'User Input'!$C$13+$AE28)</f>
        <v>1.9322624042108965E-4</v>
      </c>
      <c r="AD55" s="28">
        <f>AD28/($F55*'User Input'!$C$13+$AE28)</f>
        <v>4.5446811747040282E-3</v>
      </c>
      <c r="AE55" s="23">
        <f>AE28/($F55*'User Input'!$C$13+$AE28)</f>
        <v>9.1063765059194252E-2</v>
      </c>
      <c r="AF55" s="5"/>
      <c r="AG55" s="24">
        <f t="shared" si="12"/>
        <v>0.90893623494080578</v>
      </c>
      <c r="AH55" s="5"/>
      <c r="AI55" s="5"/>
    </row>
    <row r="56" spans="2:35" x14ac:dyDescent="0.25">
      <c r="B56" s="5"/>
      <c r="F56" s="1">
        <f t="shared" si="13"/>
        <v>5.5</v>
      </c>
      <c r="G56" s="15">
        <f>G29/($F56*'User Input'!$C$13+$AE29)</f>
        <v>1.6713600255942731E-2</v>
      </c>
      <c r="H56" s="15">
        <f>H29/($F56*'User Input'!$C$13+$AE29)</f>
        <v>1.7313214762290891E-2</v>
      </c>
      <c r="I56" s="15">
        <f>I29/($F56*'User Input'!$C$13+$AE29)</f>
        <v>9.1658195800363509E-3</v>
      </c>
      <c r="J56" s="28">
        <f>J29/($F56*'User Input'!$C$13+$AE29)</f>
        <v>4.3192634598269969E-2</v>
      </c>
      <c r="K56" s="15">
        <f>K29/($F56*'User Input'!$C$13+$AE29)</f>
        <v>1.3817999672472827E-2</v>
      </c>
      <c r="L56" s="15">
        <f>L29/($F56*'User Input'!$C$13+$AE29)</f>
        <v>1.018424397781817E-3</v>
      </c>
      <c r="M56" s="15">
        <f>M29/($F56*'User Input'!$C$13+$AE29)</f>
        <v>9.1658195800363509E-3</v>
      </c>
      <c r="N56" s="28">
        <f>N29/($F56*'User Input'!$C$13+$AE29)</f>
        <v>2.4002243650290998E-2</v>
      </c>
      <c r="O56" s="15">
        <f>O29/($F56*'User Input'!$C$13+$AE29)</f>
        <v>7.8173247535723235E-4</v>
      </c>
      <c r="P56" s="15">
        <f>P29/($F56*'User Input'!$C$13+$AE29)</f>
        <v>4.0105971386840414E-5</v>
      </c>
      <c r="Q56" s="15">
        <f>Q29/($F56*'User Input'!$C$13+$AE29)</f>
        <v>1.2034520307579311E-4</v>
      </c>
      <c r="R56" s="15">
        <f>R29/($F56*'User Input'!$C$13+$AE29)</f>
        <v>4.0742692445626578E-4</v>
      </c>
      <c r="S56" s="15">
        <f>S29/($F56*'User Input'!$C$13+$AE29)</f>
        <v>8.2092708058956656E-3</v>
      </c>
      <c r="T56" s="15">
        <f>T29/($F56*'User Input'!$C$13+$AE29)</f>
        <v>4.308980571848186E-4</v>
      </c>
      <c r="U56" s="15">
        <f>U29/($F56*'User Input'!$C$13+$AE29)</f>
        <v>4.6357423870060579E-4</v>
      </c>
      <c r="V56" s="15">
        <f>V29/($F56*'User Input'!$C$13+$AE29)</f>
        <v>2.9314967825896216E-4</v>
      </c>
      <c r="W56" s="15">
        <f>W29/($F56*'User Input'!$C$13+$AE29)</f>
        <v>3.0557019334219936E-4</v>
      </c>
      <c r="X56" s="15">
        <f>X29/($F56*'User Input'!$C$13+$AE29)</f>
        <v>1.9997322958779881E-3</v>
      </c>
      <c r="Y56" s="15">
        <f>Y29/($F56*'User Input'!$C$13+$AE29)</f>
        <v>9.9986614793899403E-4</v>
      </c>
      <c r="Z56" s="15">
        <f>Z29/($F56*'User Input'!$C$13+$AE29)</f>
        <v>9.2172559290178651E-7</v>
      </c>
      <c r="AA56" s="28">
        <f>AA29/($F56*'User Input'!$C$13+$AE29)</f>
        <v>1.4052593717068268E-2</v>
      </c>
      <c r="AB56" s="28">
        <f>AB29/($F56*'User Input'!$C$13+$AE29)</f>
        <v>1.0591613736930896E-2</v>
      </c>
      <c r="AC56" s="28">
        <f>AC29/($F56*'User Input'!$C$13+$AE29)</f>
        <v>1.745168113498228E-4</v>
      </c>
      <c r="AD56" s="28">
        <f>AD29/($F56*'User Input'!$C$13+$AE29)</f>
        <v>4.9666088375668769E-3</v>
      </c>
      <c r="AE56" s="23">
        <f>AE29/($F56*'User Input'!$C$13+$AE29)</f>
        <v>9.698021135147683E-2</v>
      </c>
      <c r="AF56" s="5"/>
      <c r="AG56" s="24">
        <f t="shared" si="12"/>
        <v>0.90301978864852317</v>
      </c>
      <c r="AH56" s="5"/>
      <c r="AI56" s="5"/>
    </row>
    <row r="57" spans="2:35" x14ac:dyDescent="0.25">
      <c r="B57" s="5"/>
      <c r="F57" s="1">
        <f t="shared" si="13"/>
        <v>6</v>
      </c>
      <c r="G57" s="15">
        <f>G30/($F57*'User Input'!$C$13+$AE30)</f>
        <v>1.8074358299941889E-2</v>
      </c>
      <c r="H57" s="15">
        <f>H30/($F57*'User Input'!$C$13+$AE30)</f>
        <v>1.8722791148856409E-2</v>
      </c>
      <c r="I57" s="15">
        <f>I30/($F57*'User Input'!$C$13+$AE30)</f>
        <v>9.9120659023357437E-3</v>
      </c>
      <c r="J57" s="28">
        <f>J30/($F57*'User Input'!$C$13+$AE30)</f>
        <v>4.6709215351134044E-2</v>
      </c>
      <c r="K57" s="15">
        <f>K30/($F57*'User Input'!$C$13+$AE30)</f>
        <v>1.494300888164124E-2</v>
      </c>
      <c r="L57" s="15">
        <f>L30/($F57*'User Input'!$C$13+$AE30)</f>
        <v>1.1013406558150829E-3</v>
      </c>
      <c r="M57" s="15">
        <f>M30/($F57*'User Input'!$C$13+$AE30)</f>
        <v>9.9120659023357437E-3</v>
      </c>
      <c r="N57" s="28">
        <f>N30/($F57*'User Input'!$C$13+$AE30)</f>
        <v>2.5956415439792067E-2</v>
      </c>
      <c r="O57" s="15">
        <f>O30/($F57*'User Input'!$C$13+$AE30)</f>
        <v>7.1182296900679362E-4</v>
      </c>
      <c r="P57" s="15">
        <f>P30/($F57*'User Input'!$C$13+$AE30)</f>
        <v>4.0132557503917632E-5</v>
      </c>
      <c r="Q57" s="15">
        <f>Q30/($F57*'User Input'!$C$13+$AE30)</f>
        <v>1.1879703351940826E-4</v>
      </c>
      <c r="R57" s="15">
        <f>R30/($F57*'User Input'!$C$13+$AE30)</f>
        <v>3.7099116662287271E-4</v>
      </c>
      <c r="S57" s="15">
        <f>S30/($F57*'User Input'!$C$13+$AE30)</f>
        <v>7.4751244225373763E-3</v>
      </c>
      <c r="T57" s="15">
        <f>T30/($F57*'User Input'!$C$13+$AE30)</f>
        <v>3.9236330083944874E-4</v>
      </c>
      <c r="U57" s="15">
        <f>U30/($F57*'User Input'!$C$13+$AE30)</f>
        <v>4.2211728609091659E-4</v>
      </c>
      <c r="V57" s="15">
        <f>V30/($F57*'User Input'!$C$13+$AE30)</f>
        <v>2.6693361337754761E-4</v>
      </c>
      <c r="W57" s="15">
        <f>W30/($F57*'User Input'!$C$13+$AE30)</f>
        <v>2.7824337496715451E-4</v>
      </c>
      <c r="X57" s="15">
        <f>X30/($F57*'User Input'!$C$13+$AE30)</f>
        <v>2.1647540805379223E-3</v>
      </c>
      <c r="Y57" s="15">
        <f>Y30/($F57*'User Input'!$C$13+$AE30)</f>
        <v>1.0823770402689612E-3</v>
      </c>
      <c r="Z57" s="15">
        <f>Z30/($F57*'User Input'!$C$13+$AE30)</f>
        <v>8.3929665049296172E-7</v>
      </c>
      <c r="AA57" s="28">
        <f>AA30/($F57*'User Input'!$C$13+$AE30)</f>
        <v>1.3324496141922812E-2</v>
      </c>
      <c r="AB57" s="28">
        <f>AB30/($F57*'User Input'!$C$13+$AE30)</f>
        <v>1.1453942820476862E-2</v>
      </c>
      <c r="AC57" s="28">
        <f>AC30/($F57*'User Input'!$C$13+$AE30)</f>
        <v>1.5890995796210408E-4</v>
      </c>
      <c r="AD57" s="28">
        <f>AD30/($F57*'User Input'!$C$13+$AE30)</f>
        <v>5.3820895842269104E-3</v>
      </c>
      <c r="AE57" s="23">
        <f>AE30/($F57*'User Input'!$C$13+$AE30)</f>
        <v>0.10298506929551481</v>
      </c>
      <c r="AF57" s="5"/>
      <c r="AG57" s="24">
        <f t="shared" si="12"/>
        <v>0.89701493070448524</v>
      </c>
      <c r="AH57" s="5"/>
      <c r="AI57" s="5"/>
    </row>
    <row r="58" spans="2:35" x14ac:dyDescent="0.25">
      <c r="B58" s="5"/>
      <c r="F58" s="1">
        <f t="shared" si="13"/>
        <v>6.5</v>
      </c>
      <c r="G58" s="15">
        <f>G31/($F58*'User Input'!$C$13+$AE31)</f>
        <v>1.9414443660047742E-2</v>
      </c>
      <c r="H58" s="15">
        <f>H31/($F58*'User Input'!$C$13+$AE31)</f>
        <v>2.0110953201557476E-2</v>
      </c>
      <c r="I58" s="15">
        <f>I31/($F58*'User Input'!$C$13+$AE31)</f>
        <v>1.0646975224353957E-2</v>
      </c>
      <c r="J58" s="28">
        <f>J31/($F58*'User Input'!$C$13+$AE31)</f>
        <v>5.017237208595917E-2</v>
      </c>
      <c r="K58" s="15">
        <f>K31/($F58*'User Input'!$C$13+$AE31)</f>
        <v>1.6050926911477106E-2</v>
      </c>
      <c r="L58" s="15">
        <f>L31/($F58*'User Input'!$C$13+$AE31)</f>
        <v>1.1829972471504397E-3</v>
      </c>
      <c r="M58" s="15">
        <f>M31/($F58*'User Input'!$C$13+$AE31)</f>
        <v>1.0646975224353957E-2</v>
      </c>
      <c r="N58" s="28">
        <f>N31/($F58*'User Input'!$C$13+$AE31)</f>
        <v>2.7880899382981501E-2</v>
      </c>
      <c r="O58" s="15">
        <f>O31/($F58*'User Input'!$C$13+$AE31)</f>
        <v>6.5263520165759496E-4</v>
      </c>
      <c r="P58" s="15">
        <f>P31/($F58*'User Input'!$C$13+$AE31)</f>
        <v>4.0108335871374945E-5</v>
      </c>
      <c r="Q58" s="15">
        <f>Q31/($F58*'User Input'!$C$13+$AE31)</f>
        <v>1.1736713213341143E-4</v>
      </c>
      <c r="R58" s="15">
        <f>R31/($F58*'User Input'!$C$13+$AE31)</f>
        <v>3.4014341400072763E-4</v>
      </c>
      <c r="S58" s="15">
        <f>S31/($F58*'User Input'!$C$13+$AE31)</f>
        <v>6.8535711087341061E-3</v>
      </c>
      <c r="T58" s="15">
        <f>T31/($F58*'User Input'!$C$13+$AE31)</f>
        <v>3.5973846464056611E-4</v>
      </c>
      <c r="U58" s="15">
        <f>U31/($F58*'User Input'!$C$13+$AE31)</f>
        <v>3.8701841908177144E-4</v>
      </c>
      <c r="V58" s="15">
        <f>V31/($F58*'User Input'!$C$13+$AE31)</f>
        <v>2.447382006215981E-4</v>
      </c>
      <c r="W58" s="15">
        <f>W31/($F58*'User Input'!$C$13+$AE31)</f>
        <v>2.5510756050054574E-4</v>
      </c>
      <c r="X58" s="15">
        <f>X31/($F58*'User Input'!$C$13+$AE31)</f>
        <v>2.3274342846066149E-3</v>
      </c>
      <c r="Y58" s="15">
        <f>Y31/($F58*'User Input'!$C$13+$AE31)</f>
        <v>1.1637171423033075E-3</v>
      </c>
      <c r="Z58" s="15">
        <f>Z31/($F58*'User Input'!$C$13+$AE31)</f>
        <v>7.6950950249512152E-7</v>
      </c>
      <c r="AA58" s="28">
        <f>AA31/($F58*'User Input'!$C$13+$AE31)</f>
        <v>1.2742348773654114E-2</v>
      </c>
      <c r="AB58" s="28">
        <f>AB31/($F58*'User Input'!$C$13+$AE31)</f>
        <v>1.2303171370364572E-2</v>
      </c>
      <c r="AC58" s="28">
        <f>AC31/($F58*'User Input'!$C$13+$AE31)</f>
        <v>1.4569666472649033E-4</v>
      </c>
      <c r="AD58" s="28">
        <f>AD31/($F58*'User Input'!$C$13+$AE31)</f>
        <v>5.7912675868803188E-3</v>
      </c>
      <c r="AE58" s="23">
        <f>AE31/($F58*'User Input'!$C$13+$AE31)</f>
        <v>0.10903575586456618</v>
      </c>
      <c r="AF58" s="5"/>
      <c r="AG58" s="24">
        <f t="shared" si="12"/>
        <v>0.89096424413543385</v>
      </c>
      <c r="AH58" s="5"/>
      <c r="AI58" s="5"/>
    </row>
    <row r="59" spans="2:35" x14ac:dyDescent="0.25">
      <c r="B59" s="5"/>
      <c r="F59" s="1">
        <f t="shared" si="13"/>
        <v>7</v>
      </c>
      <c r="G59" s="15">
        <f>G32/($F59*'User Input'!$C$13+$AE32)</f>
        <v>2.0734323872184712E-2</v>
      </c>
      <c r="H59" s="15">
        <f>H32/($F59*'User Input'!$C$13+$AE32)</f>
        <v>2.1478185229564153E-2</v>
      </c>
      <c r="I59" s="15">
        <f>I32/($F59*'User Input'!$C$13+$AE32)</f>
        <v>1.1370803945063372E-2</v>
      </c>
      <c r="J59" s="28">
        <f>J32/($F59*'User Input'!$C$13+$AE32)</f>
        <v>5.3583313046812235E-2</v>
      </c>
      <c r="K59" s="15">
        <f>K32/($F59*'User Input'!$C$13+$AE32)</f>
        <v>1.7142140298163629E-2</v>
      </c>
      <c r="L59" s="15">
        <f>L32/($F59*'User Input'!$C$13+$AE32)</f>
        <v>1.263422660562597E-3</v>
      </c>
      <c r="M59" s="15">
        <f>M32/($F59*'User Input'!$C$13+$AE32)</f>
        <v>1.1370803945063372E-2</v>
      </c>
      <c r="N59" s="28">
        <f>N32/($F59*'User Input'!$C$13+$AE32)</f>
        <v>2.9776366903789601E-2</v>
      </c>
      <c r="O59" s="15">
        <f>O32/($F59*'User Input'!$C$13+$AE32)</f>
        <v>6.0189199889505902E-4</v>
      </c>
      <c r="P59" s="15">
        <f>P32/($F59*'User Input'!$C$13+$AE32)</f>
        <v>4.0045072511396248E-5</v>
      </c>
      <c r="Q59" s="15">
        <f>Q32/($F59*'User Input'!$C$13+$AE32)</f>
        <v>1.1603286658816103E-4</v>
      </c>
      <c r="R59" s="15">
        <f>R32/($F59*'User Input'!$C$13+$AE32)</f>
        <v>3.1369683836223556E-4</v>
      </c>
      <c r="S59" s="15">
        <f>S32/($F59*'User Input'!$C$13+$AE32)</f>
        <v>6.3206973876497015E-3</v>
      </c>
      <c r="T59" s="15">
        <f>T32/($F59*'User Input'!$C$13+$AE32)</f>
        <v>3.3176834931982261E-4</v>
      </c>
      <c r="U59" s="15">
        <f>U32/($F59*'User Input'!$C$13+$AE32)</f>
        <v>3.5692725320162356E-4</v>
      </c>
      <c r="V59" s="15">
        <f>V32/($F59*'User Input'!$C$13+$AE32)</f>
        <v>2.2570949958564712E-4</v>
      </c>
      <c r="W59" s="15">
        <f>W32/($F59*'User Input'!$C$13+$AE32)</f>
        <v>2.3527262877167665E-4</v>
      </c>
      <c r="X59" s="15">
        <f>X32/($F59*'User Input'!$C$13+$AE32)</f>
        <v>2.4877910184772571E-3</v>
      </c>
      <c r="Y59" s="15">
        <f>Y32/($F59*'User Input'!$C$13+$AE32)</f>
        <v>1.2438955092386285E-3</v>
      </c>
      <c r="Z59" s="15">
        <f>Z32/($F59*'User Input'!$C$13+$AE32)</f>
        <v>7.0967917674249025E-7</v>
      </c>
      <c r="AA59" s="28">
        <f>AA32/($F59*'User Input'!$C$13+$AE32)</f>
        <v>1.2274438101777951E-2</v>
      </c>
      <c r="AB59" s="28">
        <f>AB32/($F59*'User Input'!$C$13+$AE32)</f>
        <v>1.3139595669851007E-2</v>
      </c>
      <c r="AC59" s="28">
        <f>AC32/($F59*'User Input'!$C$13+$AE32)</f>
        <v>1.3436856691432188E-4</v>
      </c>
      <c r="AD59" s="28">
        <f>AD32/($F59*'User Input'!$C$13+$AE32)</f>
        <v>6.1942834398967077E-3</v>
      </c>
      <c r="AE59" s="23">
        <f>AE32/($F59*'User Input'!$C$13+$AE32)</f>
        <v>0.11510236572904181</v>
      </c>
      <c r="AF59" s="5"/>
      <c r="AG59" s="24">
        <f t="shared" si="12"/>
        <v>0.88489763427095824</v>
      </c>
      <c r="AH59" s="5"/>
      <c r="AI59" s="5"/>
    </row>
    <row r="60" spans="2:35" x14ac:dyDescent="0.25">
      <c r="B60" s="5"/>
      <c r="F60" s="1">
        <f t="shared" si="13"/>
        <v>7.5</v>
      </c>
      <c r="G60" s="15">
        <f>G33/($F60*'User Input'!$C$13+$AE33)</f>
        <v>2.2034452480042682E-2</v>
      </c>
      <c r="H60" s="15">
        <f>H33/($F60*'User Input'!$C$13+$AE33)</f>
        <v>2.2824957047828727E-2</v>
      </c>
      <c r="I60" s="15">
        <f>I33/($F60*'User Input'!$C$13+$AE33)</f>
        <v>1.208380079002697E-2</v>
      </c>
      <c r="J60" s="28">
        <f>J33/($F60*'User Input'!$C$13+$AE33)</f>
        <v>5.6943210317898382E-2</v>
      </c>
      <c r="K60" s="15">
        <f>K33/($F60*'User Input'!$C$13+$AE33)</f>
        <v>1.821702400977844E-2</v>
      </c>
      <c r="L60" s="15">
        <f>L33/($F60*'User Input'!$C$13+$AE33)</f>
        <v>1.3426445322252192E-3</v>
      </c>
      <c r="M60" s="15">
        <f>M33/($F60*'User Input'!$C$13+$AE33)</f>
        <v>1.208380079002697E-2</v>
      </c>
      <c r="N60" s="28">
        <f>N33/($F60*'User Input'!$C$13+$AE33)</f>
        <v>3.1643469332030633E-2</v>
      </c>
      <c r="O60" s="15">
        <f>O33/($F60*'User Input'!$C$13+$AE33)</f>
        <v>5.579180572680472E-4</v>
      </c>
      <c r="P60" s="15">
        <f>P33/($F60*'User Input'!$C$13+$AE33)</f>
        <v>3.9951396380551175E-5</v>
      </c>
      <c r="Q60" s="15">
        <f>Q33/($F60*'User Input'!$C$13+$AE33)</f>
        <v>1.1477751696327006E-4</v>
      </c>
      <c r="R60" s="15">
        <f>R33/($F60*'User Input'!$C$13+$AE33)</f>
        <v>2.9077829735480771E-4</v>
      </c>
      <c r="S60" s="15">
        <f>S33/($F60*'User Input'!$C$13+$AE33)</f>
        <v>5.8589102589343143E-3</v>
      </c>
      <c r="T60" s="15">
        <f>T33/($F60*'User Input'!$C$13+$AE33)</f>
        <v>3.0752951236325492E-4</v>
      </c>
      <c r="U60" s="15">
        <f>U33/($F60*'User Input'!$C$13+$AE33)</f>
        <v>3.3085031875791713E-4</v>
      </c>
      <c r="V60" s="15">
        <f>V33/($F60*'User Input'!$C$13+$AE33)</f>
        <v>2.092192714755177E-4</v>
      </c>
      <c r="W60" s="15">
        <f>W33/($F60*'User Input'!$C$13+$AE33)</f>
        <v>2.180837230161058E-4</v>
      </c>
      <c r="X60" s="15">
        <f>X33/($F60*'User Input'!$C$13+$AE33)</f>
        <v>2.6458509912955282E-3</v>
      </c>
      <c r="Y60" s="15">
        <f>Y33/($F60*'User Input'!$C$13+$AE33)</f>
        <v>1.3229254956477641E-3</v>
      </c>
      <c r="Z60" s="15">
        <f>Z33/($F60*'User Input'!$C$13+$AE33)</f>
        <v>6.5783035544353628E-7</v>
      </c>
      <c r="AA60" s="28">
        <f>AA33/($F60*'User Input'!$C$13+$AE33)</f>
        <v>1.1897452669812524E-2</v>
      </c>
      <c r="AB60" s="28">
        <f>AB33/($F60*'User Input'!$C$13+$AE33)</f>
        <v>1.3963503135142278E-2</v>
      </c>
      <c r="AC60" s="28">
        <f>AC33/($F60*'User Input'!$C$13+$AE33)</f>
        <v>1.2455166366782131E-4</v>
      </c>
      <c r="AD60" s="28">
        <f>AD33/($F60*'User Input'!$C$13+$AE33)</f>
        <v>6.5912740413011043E-3</v>
      </c>
      <c r="AE60" s="23">
        <f>AE33/($F60*'User Input'!$C$13+$AE33)</f>
        <v>0.12116346115985274</v>
      </c>
      <c r="AF60" s="5"/>
      <c r="AG60" s="24">
        <f t="shared" si="12"/>
        <v>0.87883653884014723</v>
      </c>
      <c r="AH60" s="5"/>
      <c r="AI60" s="5"/>
    </row>
    <row r="61" spans="2:35" x14ac:dyDescent="0.25">
      <c r="B61" s="5"/>
      <c r="F61" s="1">
        <f t="shared" si="13"/>
        <v>8</v>
      </c>
      <c r="G61" s="15">
        <f>G34/($F61*'User Input'!$C$13+$AE34)</f>
        <v>2.3315269554405941E-2</v>
      </c>
      <c r="H61" s="15">
        <f>H34/($F61*'User Input'!$C$13+$AE34)</f>
        <v>2.4151724515046064E-2</v>
      </c>
      <c r="I61" s="15">
        <f>I34/($F61*'User Input'!$C$13+$AE34)</f>
        <v>1.2786207096200855E-2</v>
      </c>
      <c r="J61" s="28">
        <f>J34/($F61*'User Input'!$C$13+$AE34)</f>
        <v>6.0253201165652866E-2</v>
      </c>
      <c r="K61" s="15">
        <f>K34/($F61*'User Input'!$C$13+$AE34)</f>
        <v>1.9275941875649752E-2</v>
      </c>
      <c r="L61" s="15">
        <f>L34/($F61*'User Input'!$C$13+$AE34)</f>
        <v>1.4206896773556509E-3</v>
      </c>
      <c r="M61" s="15">
        <f>M34/($F61*'User Input'!$C$13+$AE34)</f>
        <v>1.2786207096200855E-2</v>
      </c>
      <c r="N61" s="28">
        <f>N34/($F61*'User Input'!$C$13+$AE34)</f>
        <v>3.3482838649206259E-2</v>
      </c>
      <c r="O61" s="15">
        <f>O34/($F61*'User Input'!$C$13+$AE34)</f>
        <v>5.1945343298572075E-4</v>
      </c>
      <c r="P61" s="15">
        <f>P34/($F61*'User Input'!$C$13+$AE34)</f>
        <v>3.9833772450666266E-5</v>
      </c>
      <c r="Q61" s="15">
        <f>Q34/($F61*'User Input'!$C$13+$AE34)</f>
        <v>1.1358844599457212E-4</v>
      </c>
      <c r="R61" s="15">
        <f>R34/($F61*'User Input'!$C$13+$AE34)</f>
        <v>2.7073112768266058E-4</v>
      </c>
      <c r="S61" s="15">
        <f>S34/($F61*'User Input'!$C$13+$AE34)</f>
        <v>5.4549785724115696E-3</v>
      </c>
      <c r="T61" s="15">
        <f>T34/($F61*'User Input'!$C$13+$AE34)</f>
        <v>2.8632746128302524E-4</v>
      </c>
      <c r="U61" s="15">
        <f>U34/($F61*'User Input'!$C$13+$AE34)</f>
        <v>3.0804045799265231E-4</v>
      </c>
      <c r="V61" s="15">
        <f>V34/($F61*'User Input'!$C$13+$AE34)</f>
        <v>1.947950373696453E-4</v>
      </c>
      <c r="W61" s="15">
        <f>W34/($F61*'User Input'!$C$13+$AE34)</f>
        <v>2.0304834576199542E-4</v>
      </c>
      <c r="X61" s="15">
        <f>X34/($F61*'User Input'!$C$13+$AE34)</f>
        <v>2.801646380114921E-3</v>
      </c>
      <c r="Y61" s="15">
        <f>Y34/($F61*'User Input'!$C$13+$AE34)</f>
        <v>1.4008231900574605E-3</v>
      </c>
      <c r="Z61" s="15">
        <f>Z34/($F61*'User Input'!$C$13+$AE34)</f>
        <v>6.1247746332251981E-7</v>
      </c>
      <c r="AA61" s="28">
        <f>AA34/($F61*'User Input'!$C$13+$AE34)</f>
        <v>1.1593878701568213E-2</v>
      </c>
      <c r="AB61" s="28">
        <f>AB34/($F61*'User Input'!$C$13+$AE34)</f>
        <v>1.4775172644498768E-2</v>
      </c>
      <c r="AC61" s="28">
        <f>AC34/($F61*'User Input'!$C$13+$AE34)</f>
        <v>1.1596468053596023E-4</v>
      </c>
      <c r="AD61" s="28">
        <f>AD34/($F61*'User Input'!$C$13+$AE34)</f>
        <v>6.9823725726868091E-3</v>
      </c>
      <c r="AE61" s="23">
        <f>AE34/($F61*'User Input'!$C$13+$AE34)</f>
        <v>0.12720342841414886</v>
      </c>
      <c r="AF61" s="5"/>
      <c r="AG61" s="24">
        <f t="shared" si="12"/>
        <v>0.87279657158585111</v>
      </c>
      <c r="AH61" s="5"/>
      <c r="AI61" s="5"/>
    </row>
    <row r="62" spans="2:35" x14ac:dyDescent="0.25">
      <c r="B62" s="5"/>
      <c r="F62" s="1">
        <f t="shared" si="13"/>
        <v>8.5</v>
      </c>
      <c r="G62" s="15">
        <f>G35/($F62*'User Input'!$C$13+$AE35)</f>
        <v>2.4577202189600522E-2</v>
      </c>
      <c r="H62" s="15">
        <f>H35/($F62*'User Input'!$C$13+$AE35)</f>
        <v>2.5458930047911381E-2</v>
      </c>
      <c r="I62" s="15">
        <f>I35/($F62*'User Input'!$C$13+$AE35)</f>
        <v>1.3478257084188377E-2</v>
      </c>
      <c r="J62" s="28">
        <f>J35/($F62*'User Input'!$C$13+$AE35)</f>
        <v>6.3514389321700282E-2</v>
      </c>
      <c r="K62" s="15">
        <f>K35/($F62*'User Input'!$C$13+$AE35)</f>
        <v>2.0319246996795118E-2</v>
      </c>
      <c r="L62" s="15">
        <f>L35/($F62*'User Input'!$C$13+$AE35)</f>
        <v>1.4975841204653752E-3</v>
      </c>
      <c r="M62" s="15">
        <f>M35/($F62*'User Input'!$C$13+$AE35)</f>
        <v>1.3478257084188377E-2</v>
      </c>
      <c r="N62" s="28">
        <f>N35/($F62*'User Input'!$C$13+$AE35)</f>
        <v>3.5295088201448867E-2</v>
      </c>
      <c r="O62" s="15">
        <f>O35/($F62*'User Input'!$C$13+$AE35)</f>
        <v>4.8553233915287766E-4</v>
      </c>
      <c r="P62" s="15">
        <f>P35/($F62*'User Input'!$C$13+$AE35)</f>
        <v>3.9697134017542855E-5</v>
      </c>
      <c r="Q62" s="15">
        <f>Q35/($F62*'User Input'!$C$13+$AE35)</f>
        <v>1.1245590992411202E-4</v>
      </c>
      <c r="R62" s="15">
        <f>R35/($F62*'User Input'!$C$13+$AE35)</f>
        <v>2.5305197609286367E-4</v>
      </c>
      <c r="S62" s="15">
        <f>S35/($F62*'User Input'!$C$13+$AE35)</f>
        <v>5.0987602316310433E-3</v>
      </c>
      <c r="T62" s="15">
        <f>T35/($F62*'User Input'!$C$13+$AE35)</f>
        <v>2.6762984555012809E-4</v>
      </c>
      <c r="U62" s="15">
        <f>U35/($F62*'User Input'!$C$13+$AE35)</f>
        <v>2.8792495077611236E-4</v>
      </c>
      <c r="V62" s="15">
        <f>V35/($F62*'User Input'!$C$13+$AE35)</f>
        <v>1.8207462718232913E-4</v>
      </c>
      <c r="W62" s="15">
        <f>W35/($F62*'User Input'!$C$13+$AE35)</f>
        <v>1.8978898206964775E-4</v>
      </c>
      <c r="X62" s="15">
        <f>X35/($F62*'User Input'!$C$13+$AE35)</f>
        <v>2.9552128147622577E-3</v>
      </c>
      <c r="Y62" s="15">
        <f>Y35/($F62*'User Input'!$C$13+$AE35)</f>
        <v>1.4776064073811288E-3</v>
      </c>
      <c r="Z62" s="15">
        <f>Z35/($F62*'User Input'!$C$13+$AE35)</f>
        <v>5.7248175979150467E-7</v>
      </c>
      <c r="AA62" s="28">
        <f>AA35/($F62*'User Input'!$C$13+$AE35)</f>
        <v>1.1350307700299836E-2</v>
      </c>
      <c r="AB62" s="28">
        <f>AB35/($F62*'User Input'!$C$13+$AE35)</f>
        <v>1.5574874852839902E-2</v>
      </c>
      <c r="AC62" s="28">
        <f>AC35/($F62*'User Input'!$C$13+$AE35)</f>
        <v>1.0839201172685041E-4</v>
      </c>
      <c r="AD62" s="28">
        <f>AD35/($F62*'User Input'!$C$13+$AE35)</f>
        <v>7.3677085347068584E-3</v>
      </c>
      <c r="AE62" s="23">
        <f>AE35/($F62*'User Input'!$C$13+$AE35)</f>
        <v>0.13321076062272261</v>
      </c>
      <c r="AF62" s="5"/>
      <c r="AG62" s="24">
        <f t="shared" si="12"/>
        <v>0.86678923937727737</v>
      </c>
      <c r="AH62" s="5"/>
      <c r="AI62" s="5"/>
    </row>
    <row r="63" spans="2:35" x14ac:dyDescent="0.25">
      <c r="B63" s="5"/>
      <c r="F63" s="1">
        <f t="shared" si="13"/>
        <v>9</v>
      </c>
      <c r="G63" s="15">
        <f>G36/($F63*'User Input'!$C$13+$AE36)</f>
        <v>2.5820664978197818E-2</v>
      </c>
      <c r="H63" s="15">
        <f>H36/($F63*'User Input'!$C$13+$AE36)</f>
        <v>2.6747003112854249E-2</v>
      </c>
      <c r="I63" s="15">
        <f>I36/($F63*'User Input'!$C$13+$AE36)</f>
        <v>1.4160178118569894E-2</v>
      </c>
      <c r="J63" s="28">
        <f>J36/($F63*'User Input'!$C$13+$AE36)</f>
        <v>6.6727846209621952E-2</v>
      </c>
      <c r="K63" s="15">
        <f>K36/($F63*'User Input'!$C$13+$AE36)</f>
        <v>2.1347282138383487E-2</v>
      </c>
      <c r="L63" s="15">
        <f>L36/($F63*'User Input'!$C$13+$AE36)</f>
        <v>1.5733531242855441E-3</v>
      </c>
      <c r="M63" s="15">
        <f>M36/($F63*'User Input'!$C$13+$AE36)</f>
        <v>1.4160178118569894E-2</v>
      </c>
      <c r="N63" s="28">
        <f>N36/($F63*'User Input'!$C$13+$AE36)</f>
        <v>3.7080813381238927E-2</v>
      </c>
      <c r="O63" s="15">
        <f>O36/($F63*'User Input'!$C$13+$AE36)</f>
        <v>4.5540204299278743E-4</v>
      </c>
      <c r="P63" s="15">
        <f>P36/($F63*'User Input'!$C$13+$AE36)</f>
        <v>3.954530577464197E-5</v>
      </c>
      <c r="Q63" s="15">
        <f>Q36/($F63*'User Input'!$C$13+$AE36)</f>
        <v>1.1137226269061438E-4</v>
      </c>
      <c r="R63" s="15">
        <f>R36/($F63*'User Input'!$C$13+$AE36)</f>
        <v>2.3734852985717771E-4</v>
      </c>
      <c r="S63" s="15">
        <f>S36/($F63*'User Input'!$C$13+$AE36)</f>
        <v>4.7823505026799891E-3</v>
      </c>
      <c r="T63" s="15">
        <f>T36/($F63*'User Input'!$C$13+$AE36)</f>
        <v>2.5102175200527043E-4</v>
      </c>
      <c r="U63" s="15">
        <f>U36/($F63*'User Input'!$C$13+$AE36)</f>
        <v>2.7005741994613785E-4</v>
      </c>
      <c r="V63" s="15">
        <f>V36/($F63*'User Input'!$C$13+$AE36)</f>
        <v>1.7077576612229529E-4</v>
      </c>
      <c r="W63" s="15">
        <f>W36/($F63*'User Input'!$C$13+$AE36)</f>
        <v>1.7801139739288328E-4</v>
      </c>
      <c r="X63" s="15">
        <f>X36/($F63*'User Input'!$C$13+$AE36)</f>
        <v>3.1065880468187116E-3</v>
      </c>
      <c r="Y63" s="15">
        <f>Y36/($F63*'User Input'!$C$13+$AE36)</f>
        <v>1.5532940234093558E-3</v>
      </c>
      <c r="Z63" s="15">
        <f>Z36/($F63*'User Input'!$C$13+$AE36)</f>
        <v>5.3695571223952786E-7</v>
      </c>
      <c r="AA63" s="28">
        <f>AA36/($F63*'User Input'!$C$13+$AE36)</f>
        <v>1.1156304005402106E-2</v>
      </c>
      <c r="AB63" s="28">
        <f>AB36/($F63*'User Input'!$C$13+$AE36)</f>
        <v>1.6362872492569656E-2</v>
      </c>
      <c r="AC63" s="28">
        <f>AC36/($F63*'User Input'!$C$13+$AE36)</f>
        <v>1.0166561442772084E-4</v>
      </c>
      <c r="AD63" s="28">
        <f>AD36/($F63*'User Input'!$C$13+$AE36)</f>
        <v>7.7474078143415824E-3</v>
      </c>
      <c r="AE63" s="23">
        <f>AE36/($F63*'User Input'!$C$13+$AE36)</f>
        <v>0.13917690951760195</v>
      </c>
      <c r="AF63" s="5"/>
      <c r="AG63" s="24">
        <f t="shared" si="12"/>
        <v>0.86082309048239802</v>
      </c>
      <c r="AH63" s="5"/>
      <c r="AI63" s="5"/>
    </row>
    <row r="64" spans="2:35" x14ac:dyDescent="0.25">
      <c r="B64" s="5"/>
      <c r="F64" s="1">
        <f t="shared" si="13"/>
        <v>9.5</v>
      </c>
      <c r="G64" s="15">
        <f>G37/($F64*'User Input'!$C$13+$AE37)</f>
        <v>2.7046060465060424E-2</v>
      </c>
      <c r="H64" s="15">
        <f>H37/($F64*'User Input'!$C$13+$AE37)</f>
        <v>2.8016360696373747E-2</v>
      </c>
      <c r="I64" s="15">
        <f>I37/($F64*'User Input'!$C$13+$AE37)</f>
        <v>1.4832190956903748E-2</v>
      </c>
      <c r="J64" s="28">
        <f>J37/($F64*'User Input'!$C$13+$AE37)</f>
        <v>6.9894612118337918E-2</v>
      </c>
      <c r="K64" s="15">
        <f>K37/($F64*'User Input'!$C$13+$AE37)</f>
        <v>2.2360380105118493E-2</v>
      </c>
      <c r="L64" s="15">
        <f>L37/($F64*'User Input'!$C$13+$AE37)</f>
        <v>1.6480212174337498E-3</v>
      </c>
      <c r="M64" s="15">
        <f>M37/($F64*'User Input'!$C$13+$AE37)</f>
        <v>1.4832190956903748E-2</v>
      </c>
      <c r="N64" s="28">
        <f>N37/($F64*'User Input'!$C$13+$AE37)</f>
        <v>3.8840592279455993E-2</v>
      </c>
      <c r="O64" s="15">
        <f>O37/($F64*'User Input'!$C$13+$AE37)</f>
        <v>4.2846719368916267E-4</v>
      </c>
      <c r="P64" s="15">
        <f>P37/($F64*'User Input'!$C$13+$AE37)</f>
        <v>3.9381294195755893E-5</v>
      </c>
      <c r="Q64" s="15">
        <f>Q37/($F64*'User Input'!$C$13+$AE37)</f>
        <v>1.1033140957305841E-4</v>
      </c>
      <c r="R64" s="15">
        <f>R37/($F64*'User Input'!$C$13+$AE37)</f>
        <v>2.2331050130085605E-4</v>
      </c>
      <c r="S64" s="15">
        <f>S37/($F64*'User Input'!$C$13+$AE37)</f>
        <v>4.4994973796235339E-3</v>
      </c>
      <c r="T64" s="15">
        <f>T37/($F64*'User Input'!$C$13+$AE37)</f>
        <v>2.3617501785853554E-4</v>
      </c>
      <c r="U64" s="15">
        <f>U37/($F64*'User Input'!$C$13+$AE37)</f>
        <v>2.5408481722838909E-4</v>
      </c>
      <c r="V64" s="15">
        <f>V37/($F64*'User Input'!$C$13+$AE37)</f>
        <v>1.60675197633436E-4</v>
      </c>
      <c r="W64" s="15">
        <f>W37/($F64*'User Input'!$C$13+$AE37)</f>
        <v>1.6748287597564206E-4</v>
      </c>
      <c r="X64" s="15">
        <f>X37/($F64*'User Input'!$C$13+$AE37)</f>
        <v>3.2558110516143777E-3</v>
      </c>
      <c r="Y64" s="15">
        <f>Y37/($F64*'User Input'!$C$13+$AE37)</f>
        <v>1.6279055258071888E-3</v>
      </c>
      <c r="Z64" s="15">
        <f>Z37/($F64*'User Input'!$C$13+$AE37)</f>
        <v>5.0519735407133392E-7</v>
      </c>
      <c r="AA64" s="28">
        <f>AA37/($F64*'User Input'!$C$13+$AE37)</f>
        <v>1.1003627461854008E-2</v>
      </c>
      <c r="AB64" s="28">
        <f>AB37/($F64*'User Input'!$C$13+$AE37)</f>
        <v>1.7139420661310995E-2</v>
      </c>
      <c r="AC64" s="28">
        <f>AC37/($F64*'User Input'!$C$13+$AE37)</f>
        <v>9.5652580349139756E-5</v>
      </c>
      <c r="AD64" s="28">
        <f>AD37/($F64*'User Input'!$C$13+$AE37)</f>
        <v>8.1215927702204798E-3</v>
      </c>
      <c r="AE64" s="23">
        <f>AE37/($F64*'User Input'!$C$13+$AE37)</f>
        <v>0.14509549787152853</v>
      </c>
      <c r="AF64" s="5"/>
      <c r="AG64" s="24">
        <f t="shared" si="12"/>
        <v>0.85490450212847147</v>
      </c>
      <c r="AH64" s="5"/>
      <c r="AI64" s="5"/>
    </row>
    <row r="65" spans="2:35" x14ac:dyDescent="0.25">
      <c r="B65" s="5"/>
      <c r="F65" s="1">
        <f t="shared" si="13"/>
        <v>10</v>
      </c>
      <c r="G65" s="15">
        <f>G38/($F65*'User Input'!$C$13+$AE38)</f>
        <v>2.8253779581761337E-2</v>
      </c>
      <c r="H65" s="15">
        <f>H38/($F65*'User Input'!$C$13+$AE38)</f>
        <v>2.9267407755042777E-2</v>
      </c>
      <c r="I65" s="15">
        <f>I38/($F65*'User Input'!$C$13+$AE38)</f>
        <v>1.5494509987963822E-2</v>
      </c>
      <c r="J65" s="28">
        <f>J38/($F65*'User Input'!$C$13+$AE38)</f>
        <v>7.3015697324767939E-2</v>
      </c>
      <c r="K65" s="15">
        <f>K38/($F65*'User Input'!$C$13+$AE38)</f>
        <v>2.3358864100395251E-2</v>
      </c>
      <c r="L65" s="15">
        <f>L38/($F65*'User Input'!$C$13+$AE38)</f>
        <v>1.7216122208848692E-3</v>
      </c>
      <c r="M65" s="15">
        <f>M38/($F65*'User Input'!$C$13+$AE38)</f>
        <v>1.5494509987963822E-2</v>
      </c>
      <c r="N65" s="28">
        <f>N38/($F65*'User Input'!$C$13+$AE38)</f>
        <v>4.0574986309243943E-2</v>
      </c>
      <c r="O65" s="15">
        <f>O38/($F65*'User Input'!$C$13+$AE38)</f>
        <v>4.0425073985303082E-4</v>
      </c>
      <c r="P65" s="15">
        <f>P38/($F65*'User Input'!$C$13+$AE38)</f>
        <v>3.9207491358431725E-5</v>
      </c>
      <c r="Q65" s="15">
        <f>Q38/($F65*'User Input'!$C$13+$AE38)</f>
        <v>1.0932842356849802E-4</v>
      </c>
      <c r="R65" s="15">
        <f>R38/($F65*'User Input'!$C$13+$AE38)</f>
        <v>2.1068925858840049E-4</v>
      </c>
      <c r="S65" s="15">
        <f>S38/($F65*'User Input'!$C$13+$AE38)</f>
        <v>4.2451911639217613E-3</v>
      </c>
      <c r="T65" s="15">
        <f>T38/($F65*'User Input'!$C$13+$AE38)</f>
        <v>2.2282668804132207E-4</v>
      </c>
      <c r="U65" s="15">
        <f>U38/($F65*'User Input'!$C$13+$AE38)</f>
        <v>2.3972424695019629E-4</v>
      </c>
      <c r="V65" s="15">
        <f>V38/($F65*'User Input'!$C$13+$AE38)</f>
        <v>1.5159402744488657E-4</v>
      </c>
      <c r="W65" s="15">
        <f>W38/($F65*'User Input'!$C$13+$AE38)</f>
        <v>1.5801694394130037E-4</v>
      </c>
      <c r="X65" s="15">
        <f>X38/($F65*'User Input'!$C$13+$AE38)</f>
        <v>3.402921411947233E-3</v>
      </c>
      <c r="Y65" s="15">
        <f>Y38/($F65*'User Input'!$C$13+$AE38)</f>
        <v>1.7014607059736165E-3</v>
      </c>
      <c r="Z65" s="15">
        <f>Z38/($F65*'User Input'!$C$13+$AE38)</f>
        <v>4.7664420325092415E-7</v>
      </c>
      <c r="AA65" s="28">
        <f>AA38/($F65*'User Input'!$C$13+$AE38)</f>
        <v>1.0885687745791931E-2</v>
      </c>
      <c r="AB65" s="28">
        <f>AB38/($F65*'User Input'!$C$13+$AE38)</f>
        <v>1.790476709720264E-2</v>
      </c>
      <c r="AC65" s="28">
        <f>AC38/($F65*'User Input'!$C$13+$AE38)</f>
        <v>9.0246410797656501E-5</v>
      </c>
      <c r="AD65" s="28">
        <f>AD38/($F65*'User Input'!$C$13+$AE38)</f>
        <v>8.4903823278435226E-3</v>
      </c>
      <c r="AE65" s="23">
        <f>AE38/($F65*'User Input'!$C$13+$AE38)</f>
        <v>0.15096176721564764</v>
      </c>
      <c r="AF65" s="5"/>
      <c r="AG65" s="24">
        <f t="shared" si="12"/>
        <v>0.84903823278435242</v>
      </c>
      <c r="AH65" s="5"/>
      <c r="AI65" s="5"/>
    </row>
    <row r="66" spans="2:35" x14ac:dyDescent="0.25">
      <c r="B66" s="5"/>
      <c r="C66" s="5"/>
      <c r="D66" s="5"/>
      <c r="E66" s="5"/>
      <c r="F66" s="5"/>
      <c r="G66" s="5"/>
      <c r="H66" s="5"/>
      <c r="K66" s="5"/>
      <c r="L66" s="5"/>
      <c r="M66" s="5"/>
      <c r="O66" s="5"/>
      <c r="P66" s="5"/>
      <c r="Q66" s="5"/>
      <c r="R66" s="5"/>
      <c r="S66" s="5"/>
      <c r="U66" s="5"/>
      <c r="V66" s="5"/>
      <c r="W66" s="5"/>
      <c r="X66" s="5"/>
      <c r="Y66" s="5"/>
      <c r="Z66" s="5"/>
      <c r="AA66" s="1"/>
      <c r="AB66" s="5"/>
      <c r="AC66" s="5"/>
      <c r="AD66" s="5"/>
      <c r="AE66" s="5"/>
      <c r="AF66" s="5"/>
      <c r="AG66" s="5"/>
      <c r="AH66" s="5"/>
      <c r="AI66" s="5"/>
    </row>
    <row r="67" spans="2:35" x14ac:dyDescent="0.25">
      <c r="B67" s="5"/>
      <c r="C67" s="5"/>
      <c r="D67" s="5"/>
      <c r="E67" s="5"/>
      <c r="F67" s="5"/>
      <c r="G67" s="5"/>
      <c r="H67" s="5"/>
      <c r="K67" s="5"/>
      <c r="L67" s="5"/>
      <c r="M67" s="5"/>
      <c r="O67" s="5"/>
      <c r="P67" s="5"/>
      <c r="Q67" s="5"/>
      <c r="R67" s="5"/>
      <c r="S67" s="5"/>
      <c r="U67" s="5"/>
      <c r="V67" s="5"/>
      <c r="W67" s="5"/>
      <c r="X67" s="5"/>
      <c r="Y67" s="5"/>
      <c r="Z67" s="5"/>
      <c r="AA67" s="1"/>
      <c r="AB67" s="5"/>
      <c r="AC67" s="5"/>
      <c r="AD67" s="5"/>
      <c r="AE67" s="5"/>
      <c r="AF67" s="5"/>
      <c r="AG67" s="5"/>
      <c r="AH67" s="5"/>
      <c r="AI67" s="5"/>
    </row>
    <row r="68" spans="2:35" x14ac:dyDescent="0.25">
      <c r="B68" s="5"/>
      <c r="C68" s="5"/>
      <c r="D68" s="5"/>
      <c r="E68" s="5"/>
      <c r="F68" s="5"/>
      <c r="G68" s="5"/>
      <c r="H68" s="5"/>
      <c r="K68" s="5"/>
      <c r="L68" s="5"/>
      <c r="M68" s="5"/>
      <c r="O68" s="5"/>
      <c r="P68" s="5"/>
      <c r="Q68" s="5"/>
      <c r="R68" s="5"/>
      <c r="S68" s="5"/>
      <c r="U68" s="5"/>
      <c r="V68" s="5"/>
      <c r="W68" s="5"/>
      <c r="X68" s="5"/>
      <c r="Y68" s="5"/>
      <c r="Z68" s="5"/>
      <c r="AA68" s="1"/>
      <c r="AB68" s="5"/>
      <c r="AC68" s="5"/>
      <c r="AD68" s="5"/>
      <c r="AE68" s="5"/>
      <c r="AF68" s="5"/>
      <c r="AG68" s="5"/>
      <c r="AH68" s="5"/>
      <c r="AI68" s="5"/>
    </row>
    <row r="69" spans="2:35" x14ac:dyDescent="0.25">
      <c r="B69" s="5"/>
      <c r="C69" s="5"/>
      <c r="D69" s="5"/>
      <c r="E69" s="5"/>
      <c r="F69" s="5"/>
      <c r="G69" s="5"/>
      <c r="H69" s="5"/>
      <c r="K69" s="5"/>
      <c r="L69" s="5"/>
      <c r="M69" s="5"/>
      <c r="O69" s="5"/>
      <c r="P69" s="5"/>
      <c r="Q69" s="5"/>
      <c r="R69" s="5"/>
      <c r="S69" s="5"/>
      <c r="U69" s="5"/>
      <c r="V69" s="5"/>
      <c r="W69" s="5"/>
      <c r="X69" s="5"/>
      <c r="Y69" s="5"/>
      <c r="Z69" s="5"/>
      <c r="AA69" s="1"/>
      <c r="AB69" s="5"/>
      <c r="AC69" s="5"/>
      <c r="AD69" s="5"/>
      <c r="AE69" s="5"/>
      <c r="AF69" s="5"/>
      <c r="AG69" s="5"/>
      <c r="AH69" s="5"/>
      <c r="AI69" s="5"/>
    </row>
    <row r="70" spans="2:35" x14ac:dyDescent="0.25">
      <c r="B70" s="5"/>
      <c r="C70" s="5"/>
      <c r="D70" s="5"/>
      <c r="E70" s="5"/>
      <c r="F70" s="5"/>
      <c r="G70" s="5"/>
      <c r="H70" s="5"/>
      <c r="K70" s="5"/>
      <c r="L70" s="5"/>
      <c r="M70" s="5"/>
      <c r="O70" s="5"/>
      <c r="P70" s="5"/>
      <c r="Q70" s="5"/>
      <c r="R70" s="5"/>
      <c r="S70" s="5"/>
      <c r="U70" s="5"/>
      <c r="V70" s="5"/>
      <c r="W70" s="5"/>
      <c r="X70" s="5"/>
      <c r="Y70" s="5"/>
      <c r="Z70" s="5"/>
      <c r="AA70" s="1"/>
      <c r="AB70" s="5"/>
      <c r="AC70" s="5"/>
      <c r="AD70" s="5"/>
      <c r="AE70" s="5"/>
      <c r="AF70" s="5"/>
      <c r="AG70" s="5"/>
      <c r="AH70" s="5"/>
      <c r="AI70" s="5"/>
    </row>
    <row r="71" spans="2:35" x14ac:dyDescent="0.25">
      <c r="B71" s="5"/>
      <c r="C71" s="5"/>
      <c r="D71" s="5"/>
      <c r="E71" s="5"/>
      <c r="F71" s="5"/>
      <c r="G71" s="5"/>
      <c r="H71" s="5"/>
      <c r="K71" s="5"/>
      <c r="L71" s="5"/>
      <c r="M71" s="5"/>
      <c r="O71" s="5"/>
      <c r="P71" s="5"/>
      <c r="Q71" s="5"/>
      <c r="R71" s="5"/>
      <c r="S71" s="5"/>
      <c r="U71" s="5"/>
      <c r="V71" s="5"/>
      <c r="W71" s="5"/>
      <c r="X71" s="5"/>
      <c r="Y71" s="5"/>
      <c r="Z71" s="5"/>
      <c r="AA71" s="1"/>
      <c r="AB71" s="5"/>
      <c r="AC71" s="5"/>
      <c r="AD71" s="5"/>
      <c r="AE71" s="5"/>
      <c r="AF71" s="5"/>
      <c r="AG71" s="5"/>
      <c r="AH71" s="5"/>
      <c r="AI71" s="5"/>
    </row>
    <row r="72" spans="2:35" x14ac:dyDescent="0.25">
      <c r="B72" s="5"/>
      <c r="C72" s="5"/>
      <c r="D72" s="5"/>
      <c r="E72" s="5"/>
      <c r="F72" s="5"/>
      <c r="G72" s="5"/>
      <c r="H72" s="5"/>
      <c r="K72" s="5"/>
      <c r="L72" s="5"/>
      <c r="M72" s="5"/>
      <c r="O72" s="5"/>
      <c r="P72" s="5"/>
      <c r="Q72" s="5"/>
      <c r="R72" s="5"/>
      <c r="S72" s="5"/>
      <c r="U72" s="5"/>
      <c r="V72" s="5"/>
      <c r="W72" s="5"/>
      <c r="X72" s="5"/>
      <c r="Y72" s="5"/>
      <c r="Z72" s="5"/>
      <c r="AA72" s="1"/>
      <c r="AB72" s="5"/>
      <c r="AC72" s="5"/>
      <c r="AD72" s="5"/>
      <c r="AE72" s="5"/>
      <c r="AF72" s="5"/>
      <c r="AG72" s="5"/>
      <c r="AH72" s="5"/>
      <c r="AI72" s="5"/>
    </row>
    <row r="73" spans="2:35" x14ac:dyDescent="0.25">
      <c r="B73" s="5"/>
      <c r="C73" s="5"/>
      <c r="D73" s="5"/>
      <c r="E73" s="5"/>
      <c r="F73" s="5"/>
      <c r="G73" s="5"/>
      <c r="H73" s="5"/>
      <c r="K73" s="5"/>
      <c r="L73" s="5"/>
      <c r="M73" s="5"/>
      <c r="O73" s="5"/>
      <c r="P73" s="5"/>
      <c r="Q73" s="5"/>
      <c r="R73" s="5"/>
      <c r="S73" s="5"/>
      <c r="U73" s="5"/>
      <c r="V73" s="5"/>
      <c r="W73" s="5"/>
      <c r="X73" s="5"/>
      <c r="Y73" s="5"/>
      <c r="Z73" s="5"/>
      <c r="AA73" s="1"/>
      <c r="AB73" s="5"/>
      <c r="AC73" s="5"/>
      <c r="AD73" s="5"/>
      <c r="AE73" s="5"/>
      <c r="AF73" s="5"/>
      <c r="AG73" s="5"/>
      <c r="AH73" s="5"/>
      <c r="AI73" s="5"/>
    </row>
    <row r="74" spans="2:35" x14ac:dyDescent="0.25">
      <c r="B74" s="5"/>
      <c r="C74" s="5"/>
      <c r="D74" s="5"/>
      <c r="E74" s="5"/>
      <c r="F74" s="5"/>
      <c r="G74" s="5"/>
      <c r="H74" s="5"/>
      <c r="K74" s="5"/>
      <c r="L74" s="5"/>
      <c r="M74" s="5"/>
      <c r="O74" s="5"/>
      <c r="P74" s="5"/>
      <c r="Q74" s="5"/>
      <c r="R74" s="5"/>
      <c r="S74" s="5"/>
      <c r="U74" s="5"/>
      <c r="V74" s="5"/>
      <c r="W74" s="5"/>
      <c r="X74" s="5"/>
      <c r="Y74" s="5"/>
      <c r="Z74" s="5"/>
      <c r="AA74" s="1"/>
      <c r="AB74" s="5"/>
      <c r="AC74" s="5"/>
      <c r="AD74" s="5"/>
      <c r="AE74" s="5"/>
      <c r="AF74" s="5"/>
      <c r="AG74" s="5"/>
      <c r="AH74" s="5"/>
      <c r="AI74" s="5"/>
    </row>
    <row r="75" spans="2:35" x14ac:dyDescent="0.25">
      <c r="B75" s="5"/>
      <c r="C75" s="5"/>
      <c r="D75" s="5"/>
      <c r="E75" s="5"/>
      <c r="F75" s="5"/>
      <c r="G75" s="5"/>
      <c r="H75" s="5"/>
      <c r="K75" s="5"/>
      <c r="L75" s="5"/>
      <c r="M75" s="5"/>
      <c r="O75" s="5"/>
      <c r="P75" s="5"/>
      <c r="Q75" s="5"/>
      <c r="R75" s="5"/>
      <c r="S75" s="5"/>
      <c r="U75" s="5"/>
      <c r="V75" s="5"/>
      <c r="W75" s="5"/>
      <c r="X75" s="5"/>
      <c r="Y75" s="5"/>
      <c r="Z75" s="5"/>
      <c r="AA75" s="1"/>
      <c r="AB75" s="5"/>
      <c r="AC75" s="5"/>
      <c r="AD75" s="5"/>
      <c r="AE75" s="5"/>
      <c r="AF75" s="5"/>
      <c r="AG75" s="5"/>
      <c r="AH75" s="5"/>
      <c r="AI75" s="5"/>
    </row>
    <row r="76" spans="2:35" x14ac:dyDescent="0.25">
      <c r="B76" s="5"/>
      <c r="C76" s="5"/>
      <c r="D76" s="5"/>
      <c r="E76" s="5"/>
      <c r="F76" s="5"/>
      <c r="G76" s="5"/>
      <c r="H76" s="5"/>
      <c r="K76" s="5"/>
      <c r="L76" s="5"/>
      <c r="M76" s="5"/>
      <c r="O76" s="5"/>
      <c r="P76" s="5"/>
      <c r="Q76" s="5"/>
      <c r="R76" s="5"/>
      <c r="S76" s="5"/>
      <c r="U76" s="5"/>
      <c r="V76" s="5"/>
      <c r="W76" s="5"/>
      <c r="X76" s="5"/>
      <c r="Y76" s="5"/>
      <c r="Z76" s="5"/>
      <c r="AA76" s="1"/>
      <c r="AB76" s="5"/>
      <c r="AC76" s="5"/>
      <c r="AD76" s="5"/>
      <c r="AE76" s="5"/>
      <c r="AF76" s="5"/>
      <c r="AG76" s="5"/>
      <c r="AH76" s="5"/>
      <c r="AI76" s="5"/>
    </row>
    <row r="77" spans="2:35" x14ac:dyDescent="0.25">
      <c r="B77" s="5"/>
      <c r="C77" s="5"/>
      <c r="D77" s="5"/>
      <c r="E77" s="5"/>
      <c r="F77" s="5"/>
      <c r="G77" s="5"/>
      <c r="H77" s="5"/>
      <c r="K77" s="5"/>
      <c r="L77" s="5"/>
      <c r="M77" s="5"/>
      <c r="O77" s="5"/>
      <c r="P77" s="5"/>
      <c r="Q77" s="5"/>
      <c r="R77" s="5"/>
      <c r="S77" s="5"/>
      <c r="U77" s="5"/>
      <c r="V77" s="5"/>
      <c r="W77" s="5"/>
      <c r="X77" s="5"/>
      <c r="Y77" s="5"/>
      <c r="Z77" s="5"/>
      <c r="AA77" s="1"/>
      <c r="AB77" s="5"/>
      <c r="AC77" s="5"/>
      <c r="AD77" s="5"/>
      <c r="AE77" s="5"/>
      <c r="AF77" s="5"/>
      <c r="AG77" s="5"/>
      <c r="AH77" s="5"/>
      <c r="AI77" s="5"/>
    </row>
    <row r="78" spans="2:35" x14ac:dyDescent="0.25">
      <c r="B78" s="5"/>
      <c r="C78" s="5"/>
      <c r="D78" s="5"/>
      <c r="E78" s="5"/>
      <c r="F78" s="5"/>
      <c r="G78" s="5"/>
      <c r="H78" s="5"/>
      <c r="K78" s="5"/>
      <c r="L78" s="5"/>
      <c r="M78" s="5"/>
      <c r="O78" s="5"/>
      <c r="P78" s="5"/>
      <c r="Q78" s="5"/>
      <c r="R78" s="5"/>
      <c r="S78" s="5"/>
      <c r="U78" s="5"/>
      <c r="V78" s="5"/>
      <c r="W78" s="5"/>
      <c r="X78" s="5"/>
      <c r="Y78" s="5"/>
      <c r="Z78" s="5"/>
      <c r="AA78" s="1"/>
      <c r="AB78" s="5"/>
      <c r="AC78" s="5"/>
      <c r="AD78" s="5"/>
      <c r="AE78" s="5"/>
      <c r="AF78" s="5"/>
      <c r="AG78" s="5"/>
      <c r="AH78" s="5"/>
      <c r="AI78" s="5"/>
    </row>
    <row r="79" spans="2:35" x14ac:dyDescent="0.25">
      <c r="B79" s="5"/>
      <c r="C79" s="5"/>
      <c r="D79" s="5"/>
      <c r="E79" s="5"/>
      <c r="F79" s="5"/>
      <c r="G79" s="5"/>
      <c r="H79" s="5"/>
      <c r="K79" s="5"/>
      <c r="L79" s="5"/>
      <c r="M79" s="5"/>
      <c r="O79" s="5"/>
      <c r="P79" s="5"/>
      <c r="Q79" s="5"/>
      <c r="R79" s="5"/>
      <c r="S79" s="5"/>
      <c r="U79" s="5"/>
      <c r="V79" s="5"/>
      <c r="W79" s="5"/>
      <c r="X79" s="5"/>
      <c r="Y79" s="5"/>
      <c r="Z79" s="5"/>
      <c r="AA79" s="1"/>
      <c r="AB79" s="5"/>
      <c r="AC79" s="5"/>
      <c r="AD79" s="5"/>
      <c r="AE79" s="5"/>
      <c r="AF79" s="5"/>
      <c r="AG79" s="5"/>
      <c r="AH79" s="5"/>
      <c r="AI79" s="5"/>
    </row>
    <row r="80" spans="2:35" x14ac:dyDescent="0.25">
      <c r="B80" s="5"/>
      <c r="C80" s="5"/>
      <c r="D80" s="5"/>
      <c r="E80" s="5"/>
      <c r="F80" s="5"/>
      <c r="G80" s="5"/>
      <c r="H80" s="5"/>
      <c r="K80" s="5"/>
      <c r="L80" s="5"/>
      <c r="M80" s="5"/>
      <c r="O80" s="5"/>
      <c r="P80" s="5"/>
      <c r="Q80" s="5"/>
      <c r="R80" s="5"/>
      <c r="S80" s="5"/>
      <c r="U80" s="5"/>
      <c r="V80" s="5"/>
      <c r="W80" s="5"/>
      <c r="X80" s="5"/>
      <c r="Y80" s="5"/>
      <c r="Z80" s="5"/>
      <c r="AA80" s="1"/>
      <c r="AB80" s="5"/>
      <c r="AC80" s="5"/>
      <c r="AD80" s="5"/>
      <c r="AE80" s="5"/>
      <c r="AF80" s="5"/>
      <c r="AG80" s="5"/>
      <c r="AH80" s="5"/>
      <c r="AI80" s="5"/>
    </row>
    <row r="81" spans="2:35" x14ac:dyDescent="0.25">
      <c r="B81" s="5"/>
      <c r="C81" s="5"/>
      <c r="D81" s="5"/>
      <c r="E81" s="5"/>
      <c r="F81" s="5"/>
      <c r="G81" s="5"/>
      <c r="H81" s="5"/>
      <c r="K81" s="5"/>
      <c r="L81" s="5"/>
      <c r="M81" s="5"/>
      <c r="O81" s="5"/>
      <c r="P81" s="5"/>
      <c r="Q81" s="5"/>
      <c r="R81" s="5"/>
      <c r="S81" s="5"/>
      <c r="U81" s="5"/>
      <c r="V81" s="5"/>
      <c r="W81" s="5"/>
      <c r="X81" s="5"/>
      <c r="Y81" s="5"/>
      <c r="Z81" s="5"/>
      <c r="AA81" s="1"/>
      <c r="AB81" s="5"/>
      <c r="AC81" s="5"/>
      <c r="AD81" s="5"/>
      <c r="AE81" s="5"/>
      <c r="AF81" s="5"/>
      <c r="AG81" s="5"/>
      <c r="AH81" s="5"/>
      <c r="AI81" s="5"/>
    </row>
    <row r="82" spans="2:35" x14ac:dyDescent="0.25">
      <c r="B82" s="5"/>
      <c r="C82" s="5"/>
      <c r="D82" s="5"/>
      <c r="E82" s="5"/>
      <c r="F82" s="5"/>
      <c r="G82" s="5"/>
      <c r="H82" s="5"/>
      <c r="K82" s="5"/>
      <c r="L82" s="5"/>
      <c r="M82" s="5"/>
      <c r="O82" s="5"/>
      <c r="P82" s="5"/>
      <c r="Q82" s="5"/>
      <c r="R82" s="5"/>
      <c r="S82" s="5"/>
      <c r="U82" s="5"/>
      <c r="V82" s="5"/>
      <c r="W82" s="5"/>
      <c r="X82" s="5"/>
      <c r="Y82" s="5"/>
      <c r="Z82" s="5"/>
      <c r="AA82" s="1"/>
      <c r="AB82" s="5"/>
      <c r="AC82" s="5"/>
      <c r="AD82" s="5"/>
      <c r="AE82" s="5"/>
      <c r="AF82" s="5"/>
      <c r="AG82" s="5"/>
      <c r="AH82" s="5"/>
      <c r="AI82" s="5"/>
    </row>
    <row r="83" spans="2:35" x14ac:dyDescent="0.25">
      <c r="B83" s="5"/>
      <c r="C83" s="5"/>
      <c r="D83" s="5"/>
      <c r="E83" s="5"/>
      <c r="F83" s="5"/>
      <c r="G83" s="5"/>
      <c r="H83" s="5"/>
      <c r="K83" s="5"/>
      <c r="L83" s="5"/>
      <c r="M83" s="5"/>
      <c r="O83" s="5"/>
      <c r="P83" s="5"/>
      <c r="Q83" s="5"/>
      <c r="R83" s="5"/>
      <c r="S83" s="5"/>
      <c r="U83" s="5"/>
      <c r="V83" s="5"/>
      <c r="W83" s="5"/>
      <c r="X83" s="5"/>
      <c r="Y83" s="5"/>
      <c r="Z83" s="5"/>
      <c r="AA83" s="1"/>
      <c r="AB83" s="5"/>
      <c r="AC83" s="5"/>
      <c r="AD83" s="5"/>
      <c r="AE83" s="5"/>
      <c r="AF83" s="5"/>
      <c r="AG83" s="5"/>
      <c r="AH83" s="5"/>
      <c r="AI83" s="5"/>
    </row>
    <row r="84" spans="2:35" x14ac:dyDescent="0.25">
      <c r="B84" s="5"/>
      <c r="C84" s="5"/>
      <c r="D84" s="5"/>
      <c r="E84" s="5"/>
      <c r="F84" s="5"/>
      <c r="G84" s="5"/>
      <c r="H84" s="5"/>
      <c r="K84" s="5"/>
      <c r="L84" s="5"/>
      <c r="M84" s="5"/>
      <c r="O84" s="5"/>
      <c r="P84" s="5"/>
      <c r="Q84" s="5"/>
      <c r="R84" s="5"/>
      <c r="S84" s="5"/>
      <c r="U84" s="5"/>
      <c r="V84" s="5"/>
      <c r="W84" s="5"/>
      <c r="X84" s="5"/>
      <c r="Y84" s="5"/>
      <c r="Z84" s="5"/>
      <c r="AA84" s="1"/>
      <c r="AB84" s="5"/>
      <c r="AC84" s="5"/>
      <c r="AD84" s="5"/>
      <c r="AE84" s="5"/>
      <c r="AF84" s="5"/>
      <c r="AG84" s="5"/>
      <c r="AH84" s="5"/>
      <c r="AI84" s="5"/>
    </row>
    <row r="85" spans="2:35" x14ac:dyDescent="0.25">
      <c r="B85" s="5"/>
      <c r="C85" s="5"/>
      <c r="D85" s="5"/>
      <c r="E85" s="5"/>
      <c r="F85" s="5"/>
      <c r="G85" s="5"/>
      <c r="H85" s="5"/>
      <c r="K85" s="5"/>
      <c r="L85" s="5"/>
      <c r="M85" s="5"/>
      <c r="O85" s="5"/>
      <c r="P85" s="5"/>
      <c r="Q85" s="5"/>
      <c r="R85" s="5"/>
      <c r="S85" s="5"/>
      <c r="U85" s="5"/>
      <c r="V85" s="5"/>
      <c r="W85" s="5"/>
      <c r="X85" s="5"/>
      <c r="Y85" s="5"/>
      <c r="Z85" s="5"/>
      <c r="AA85" s="1"/>
      <c r="AB85" s="5"/>
      <c r="AC85" s="5"/>
      <c r="AD85" s="5"/>
      <c r="AE85" s="5"/>
      <c r="AF85" s="5"/>
      <c r="AG85" s="5"/>
      <c r="AH85" s="5"/>
      <c r="AI85" s="5"/>
    </row>
    <row r="86" spans="2:35" x14ac:dyDescent="0.25">
      <c r="B86" s="5"/>
      <c r="C86" s="5"/>
      <c r="D86" s="5"/>
      <c r="E86" s="5"/>
      <c r="F86" s="5"/>
      <c r="G86" s="5"/>
      <c r="H86" s="5"/>
      <c r="K86" s="5"/>
      <c r="L86" s="5"/>
      <c r="M86" s="5"/>
      <c r="O86" s="5"/>
      <c r="P86" s="5"/>
      <c r="Q86" s="5"/>
      <c r="R86" s="5"/>
      <c r="S86" s="5"/>
      <c r="U86" s="5"/>
      <c r="V86" s="5"/>
      <c r="W86" s="5"/>
      <c r="X86" s="5"/>
      <c r="Y86" s="5"/>
      <c r="Z86" s="5"/>
      <c r="AA86" s="1"/>
      <c r="AB86" s="5"/>
      <c r="AC86" s="5"/>
      <c r="AD86" s="5"/>
      <c r="AE86" s="5"/>
      <c r="AF86" s="5"/>
      <c r="AG86" s="5"/>
      <c r="AH86" s="5"/>
      <c r="AI86" s="5"/>
    </row>
    <row r="87" spans="2:35" x14ac:dyDescent="0.25">
      <c r="B87" s="5"/>
      <c r="C87" s="5"/>
      <c r="D87" s="5"/>
      <c r="E87" s="5"/>
      <c r="F87" s="5"/>
      <c r="G87" s="5"/>
      <c r="H87" s="5"/>
      <c r="K87" s="5"/>
      <c r="L87" s="5"/>
      <c r="M87" s="5"/>
      <c r="O87" s="5"/>
      <c r="P87" s="5"/>
      <c r="Q87" s="5"/>
      <c r="R87" s="5"/>
      <c r="S87" s="5"/>
      <c r="U87" s="5"/>
      <c r="V87" s="5"/>
      <c r="W87" s="5"/>
      <c r="X87" s="5"/>
      <c r="Y87" s="5"/>
      <c r="Z87" s="5"/>
      <c r="AA87" s="1"/>
      <c r="AB87" s="5"/>
      <c r="AC87" s="5"/>
      <c r="AD87" s="5"/>
      <c r="AE87" s="5"/>
      <c r="AF87" s="5"/>
      <c r="AG87" s="5"/>
      <c r="AH87" s="5"/>
      <c r="AI87" s="5"/>
    </row>
    <row r="88" spans="2:35" x14ac:dyDescent="0.25">
      <c r="B88" s="5"/>
      <c r="C88" s="5"/>
      <c r="D88" s="5"/>
      <c r="E88" s="5"/>
      <c r="F88" s="5"/>
      <c r="G88" s="5"/>
      <c r="H88" s="5"/>
      <c r="K88" s="5"/>
      <c r="L88" s="5"/>
      <c r="M88" s="5"/>
      <c r="O88" s="5"/>
      <c r="P88" s="5"/>
      <c r="Q88" s="5"/>
      <c r="R88" s="5"/>
      <c r="S88" s="5"/>
      <c r="U88" s="5"/>
      <c r="V88" s="5"/>
      <c r="W88" s="5"/>
      <c r="X88" s="5"/>
      <c r="Y88" s="5"/>
      <c r="Z88" s="5"/>
      <c r="AA88" s="1"/>
      <c r="AB88" s="5"/>
      <c r="AC88" s="5"/>
      <c r="AD88" s="5"/>
      <c r="AE88" s="5"/>
      <c r="AF88" s="5"/>
      <c r="AG88" s="5"/>
      <c r="AH88" s="5"/>
      <c r="AI88" s="5"/>
    </row>
    <row r="89" spans="2:35" x14ac:dyDescent="0.25">
      <c r="B89" s="5"/>
      <c r="C89" s="5"/>
      <c r="D89" s="5"/>
      <c r="E89" s="5"/>
      <c r="F89" s="5"/>
      <c r="G89" s="5"/>
      <c r="H89" s="5"/>
      <c r="K89" s="5"/>
      <c r="L89" s="5"/>
      <c r="M89" s="5"/>
      <c r="O89" s="5"/>
      <c r="P89" s="5"/>
      <c r="Q89" s="5"/>
      <c r="R89" s="5"/>
      <c r="S89" s="5"/>
      <c r="U89" s="5"/>
      <c r="V89" s="5"/>
      <c r="W89" s="5"/>
      <c r="X89" s="5"/>
      <c r="Y89" s="5"/>
      <c r="Z89" s="5"/>
      <c r="AA89" s="1"/>
      <c r="AB89" s="5"/>
      <c r="AC89" s="5"/>
      <c r="AD89" s="5"/>
      <c r="AE89" s="5"/>
      <c r="AF89" s="5"/>
      <c r="AG89" s="5"/>
      <c r="AH89" s="5"/>
      <c r="AI89" s="5"/>
    </row>
    <row r="90" spans="2:35" x14ac:dyDescent="0.25">
      <c r="B90" s="5"/>
      <c r="C90" s="5"/>
      <c r="D90" s="5"/>
      <c r="E90" s="5"/>
      <c r="F90" s="5"/>
      <c r="G90" s="5"/>
      <c r="H90" s="5"/>
      <c r="K90" s="5"/>
      <c r="L90" s="5"/>
      <c r="M90" s="5"/>
      <c r="O90" s="5"/>
      <c r="P90" s="5"/>
      <c r="Q90" s="5"/>
      <c r="R90" s="5"/>
      <c r="S90" s="5"/>
      <c r="U90" s="5"/>
      <c r="V90" s="5"/>
      <c r="W90" s="5"/>
      <c r="X90" s="5"/>
      <c r="Y90" s="5"/>
      <c r="Z90" s="5"/>
      <c r="AA90" s="1"/>
      <c r="AB90" s="5"/>
      <c r="AC90" s="5"/>
      <c r="AD90" s="5"/>
      <c r="AE90" s="5"/>
      <c r="AF90" s="5"/>
      <c r="AG90" s="5"/>
      <c r="AH90" s="5"/>
      <c r="AI90" s="5"/>
    </row>
    <row r="91" spans="2:35" x14ac:dyDescent="0.25">
      <c r="B91" s="5"/>
      <c r="C91" s="5"/>
      <c r="D91" s="5"/>
      <c r="E91" s="5"/>
      <c r="F91" s="5"/>
      <c r="G91" s="5"/>
      <c r="H91" s="5"/>
      <c r="K91" s="5"/>
      <c r="L91" s="5"/>
      <c r="M91" s="5"/>
      <c r="O91" s="5"/>
      <c r="P91" s="5"/>
      <c r="Q91" s="5"/>
      <c r="R91" s="5"/>
      <c r="S91" s="5"/>
      <c r="U91" s="5"/>
      <c r="V91" s="5"/>
      <c r="W91" s="5"/>
      <c r="X91" s="5"/>
      <c r="Y91" s="5"/>
      <c r="Z91" s="5"/>
      <c r="AA91" s="1"/>
      <c r="AB91" s="5"/>
      <c r="AC91" s="5"/>
      <c r="AD91" s="5"/>
      <c r="AE91" s="5"/>
      <c r="AF91" s="5"/>
      <c r="AG91" s="5"/>
      <c r="AH91" s="5"/>
      <c r="AI91" s="5"/>
    </row>
    <row r="92" spans="2:35" x14ac:dyDescent="0.25">
      <c r="B92" s="5"/>
      <c r="C92" s="5"/>
      <c r="D92" s="5"/>
      <c r="E92" s="5"/>
      <c r="F92" s="5"/>
      <c r="G92" s="5"/>
      <c r="H92" s="5"/>
      <c r="K92" s="5"/>
      <c r="L92" s="5"/>
      <c r="M92" s="5"/>
      <c r="O92" s="5"/>
      <c r="P92" s="5"/>
      <c r="Q92" s="5"/>
      <c r="R92" s="5"/>
      <c r="S92" s="5"/>
      <c r="U92" s="5"/>
      <c r="V92" s="5"/>
      <c r="W92" s="5"/>
      <c r="X92" s="5"/>
      <c r="Y92" s="5"/>
      <c r="Z92" s="5"/>
      <c r="AA92" s="1"/>
      <c r="AB92" s="5"/>
      <c r="AC92" s="5"/>
      <c r="AD92" s="5"/>
      <c r="AE92" s="5"/>
      <c r="AF92" s="5"/>
      <c r="AG92" s="5"/>
      <c r="AH92" s="5"/>
      <c r="AI92" s="5"/>
    </row>
    <row r="93" spans="2:35" x14ac:dyDescent="0.25">
      <c r="B93" s="5"/>
      <c r="C93" s="5"/>
      <c r="D93" s="5"/>
      <c r="E93" s="5"/>
      <c r="F93" s="5"/>
      <c r="G93" s="5"/>
      <c r="H93" s="5"/>
      <c r="K93" s="5"/>
      <c r="L93" s="5"/>
      <c r="M93" s="5"/>
      <c r="O93" s="5"/>
      <c r="P93" s="5"/>
      <c r="Q93" s="5"/>
      <c r="R93" s="5"/>
      <c r="S93" s="5"/>
      <c r="U93" s="5"/>
      <c r="V93" s="5"/>
      <c r="W93" s="5"/>
      <c r="X93" s="5"/>
      <c r="Y93" s="5"/>
      <c r="Z93" s="5"/>
      <c r="AA93" s="1"/>
      <c r="AB93" s="5"/>
      <c r="AC93" s="5"/>
      <c r="AD93" s="5"/>
      <c r="AE93" s="5"/>
      <c r="AF93" s="5"/>
      <c r="AG93" s="5"/>
      <c r="AH93" s="5"/>
      <c r="AI93" s="5"/>
    </row>
    <row r="94" spans="2:35" x14ac:dyDescent="0.25">
      <c r="B94" s="5"/>
      <c r="C94" s="5"/>
      <c r="D94" s="5"/>
      <c r="E94" s="5"/>
      <c r="F94" s="5"/>
      <c r="G94" s="5"/>
      <c r="H94" s="5"/>
      <c r="K94" s="5"/>
      <c r="L94" s="5"/>
      <c r="M94" s="5"/>
      <c r="O94" s="5"/>
      <c r="P94" s="5"/>
      <c r="Q94" s="5"/>
      <c r="R94" s="5"/>
      <c r="S94" s="5"/>
      <c r="U94" s="5"/>
      <c r="V94" s="5"/>
      <c r="W94" s="5"/>
      <c r="X94" s="5"/>
      <c r="Y94" s="5"/>
      <c r="Z94" s="5"/>
      <c r="AA94" s="1"/>
      <c r="AB94" s="5"/>
      <c r="AC94" s="5"/>
      <c r="AD94" s="5"/>
      <c r="AE94" s="5"/>
      <c r="AF94" s="5"/>
      <c r="AG94" s="5"/>
      <c r="AH94" s="5"/>
      <c r="AI94" s="5"/>
    </row>
    <row r="95" spans="2:35" x14ac:dyDescent="0.25">
      <c r="B95" s="5"/>
      <c r="C95" s="5"/>
      <c r="D95" s="5"/>
      <c r="E95" s="5"/>
      <c r="F95" s="5"/>
      <c r="G95" s="5"/>
      <c r="H95" s="5"/>
      <c r="K95" s="5"/>
      <c r="L95" s="5"/>
      <c r="M95" s="5"/>
      <c r="O95" s="5"/>
      <c r="P95" s="5"/>
      <c r="Q95" s="5"/>
      <c r="R95" s="5"/>
      <c r="S95" s="5"/>
      <c r="U95" s="5"/>
      <c r="V95" s="5"/>
      <c r="W95" s="5"/>
      <c r="X95" s="5"/>
      <c r="Y95" s="5"/>
      <c r="Z95" s="5"/>
      <c r="AA95" s="1"/>
      <c r="AB95" s="5"/>
      <c r="AC95" s="5"/>
      <c r="AD95" s="5"/>
      <c r="AE95" s="5"/>
      <c r="AF95" s="5"/>
      <c r="AG95" s="5"/>
      <c r="AH95" s="5"/>
      <c r="AI95" s="5"/>
    </row>
    <row r="96" spans="2:35" x14ac:dyDescent="0.25">
      <c r="B96" s="5"/>
      <c r="C96" s="5"/>
      <c r="D96" s="5"/>
      <c r="E96" s="5"/>
      <c r="F96" s="5"/>
      <c r="G96" s="5"/>
      <c r="H96" s="5"/>
      <c r="K96" s="5"/>
      <c r="L96" s="5"/>
      <c r="M96" s="5"/>
      <c r="O96" s="5"/>
      <c r="P96" s="5"/>
      <c r="Q96" s="5"/>
      <c r="R96" s="5"/>
      <c r="S96" s="5"/>
      <c r="U96" s="5"/>
      <c r="V96" s="5"/>
      <c r="W96" s="5"/>
      <c r="X96" s="5"/>
      <c r="Y96" s="5"/>
      <c r="Z96" s="5"/>
      <c r="AA96" s="1"/>
      <c r="AB96" s="5"/>
      <c r="AC96" s="5"/>
      <c r="AD96" s="5"/>
      <c r="AE96" s="5"/>
      <c r="AF96" s="5"/>
      <c r="AG96" s="5"/>
      <c r="AH96" s="5"/>
      <c r="AI96" s="5"/>
    </row>
    <row r="97" spans="2:35" x14ac:dyDescent="0.25">
      <c r="B97" s="5"/>
      <c r="C97" s="5"/>
      <c r="D97" s="5"/>
      <c r="E97" s="5"/>
      <c r="F97" s="5"/>
      <c r="G97" s="5"/>
      <c r="H97" s="5"/>
      <c r="K97" s="5"/>
      <c r="L97" s="5"/>
      <c r="M97" s="5"/>
      <c r="O97" s="5"/>
      <c r="P97" s="5"/>
      <c r="Q97" s="5"/>
      <c r="R97" s="5"/>
      <c r="S97" s="5"/>
      <c r="U97" s="5"/>
      <c r="V97" s="5"/>
      <c r="W97" s="5"/>
      <c r="X97" s="5"/>
      <c r="Y97" s="5"/>
      <c r="Z97" s="5"/>
      <c r="AA97" s="1"/>
      <c r="AB97" s="5"/>
      <c r="AC97" s="5"/>
      <c r="AD97" s="5"/>
      <c r="AE97" s="5"/>
      <c r="AF97" s="5"/>
      <c r="AG97" s="5"/>
      <c r="AH97" s="5"/>
      <c r="AI97" s="5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M35"/>
  <sheetViews>
    <sheetView workbookViewId="0">
      <selection activeCell="D8" sqref="D8"/>
    </sheetView>
  </sheetViews>
  <sheetFormatPr defaultRowHeight="13.2" x14ac:dyDescent="0.25"/>
  <cols>
    <col min="3" max="3" width="20.5546875" bestFit="1" customWidth="1"/>
  </cols>
  <sheetData>
    <row r="7" spans="3:13" x14ac:dyDescent="0.25">
      <c r="C7" t="s">
        <v>83</v>
      </c>
      <c r="D7">
        <v>5</v>
      </c>
    </row>
    <row r="8" spans="3:13" x14ac:dyDescent="0.25">
      <c r="C8" t="s">
        <v>80</v>
      </c>
      <c r="D8" s="10">
        <v>1000000</v>
      </c>
      <c r="F8" t="s">
        <v>82</v>
      </c>
      <c r="G8" t="s">
        <v>84</v>
      </c>
      <c r="H8" t="s">
        <v>85</v>
      </c>
      <c r="I8" t="s">
        <v>90</v>
      </c>
      <c r="J8" t="s">
        <v>92</v>
      </c>
      <c r="K8" t="s">
        <v>93</v>
      </c>
      <c r="L8" t="s">
        <v>94</v>
      </c>
      <c r="M8" t="s">
        <v>86</v>
      </c>
    </row>
    <row r="9" spans="3:13" x14ac:dyDescent="0.25">
      <c r="C9" t="s">
        <v>81</v>
      </c>
      <c r="D9">
        <v>0.33</v>
      </c>
      <c r="F9">
        <v>1</v>
      </c>
      <c r="G9" s="10">
        <f>(F9/$D$7)/$D$8</f>
        <v>2.0000000000000002E-7</v>
      </c>
      <c r="H9" s="10">
        <f>$D$9/G9</f>
        <v>1650000</v>
      </c>
      <c r="I9" s="10">
        <f>($D$7-F9)/H9</f>
        <v>2.4242424242424244E-6</v>
      </c>
      <c r="J9" s="10">
        <f>G9*F9*$D$13</f>
        <v>1.0000000000000001E-7</v>
      </c>
      <c r="K9" s="10">
        <f>($D$7-F9)*G9/2</f>
        <v>4.0000000000000003E-7</v>
      </c>
      <c r="L9" s="10">
        <f>$D$11*$D$10*$D$12</f>
        <v>0.84659999999999991</v>
      </c>
      <c r="M9" s="10">
        <f>(J9+K9)/L9</f>
        <v>5.9059768485707555E-7</v>
      </c>
    </row>
    <row r="10" spans="3:13" x14ac:dyDescent="0.25">
      <c r="C10" t="s">
        <v>87</v>
      </c>
      <c r="D10">
        <v>11288</v>
      </c>
      <c r="F10">
        <v>1.1000000000000001</v>
      </c>
      <c r="G10" s="10">
        <f t="shared" ref="G10:G35" si="0">(F10/$D$7)/$D$8</f>
        <v>2.2000000000000004E-7</v>
      </c>
      <c r="H10" s="10">
        <f t="shared" ref="H10:H35" si="1">$D$9/G10</f>
        <v>1499999.9999999998</v>
      </c>
      <c r="I10" s="10">
        <f t="shared" ref="I10:I22" si="2">($D$7-F10)/H10</f>
        <v>2.6000000000000005E-6</v>
      </c>
      <c r="J10" s="10">
        <f t="shared" ref="J10:J22" si="3">G10*F10*$D$13</f>
        <v>1.2100000000000004E-7</v>
      </c>
      <c r="K10" s="10">
        <f t="shared" ref="K10:K22" si="4">($D$7-F10)*G10/2</f>
        <v>4.2900000000000004E-7</v>
      </c>
      <c r="L10" s="10">
        <f t="shared" ref="L10:L35" si="5">$D$11*$D$10*$D$12</f>
        <v>0.84659999999999991</v>
      </c>
      <c r="M10" s="10">
        <f t="shared" ref="M10:M22" si="6">(J10+K10)/L10</f>
        <v>6.4965745334278304E-7</v>
      </c>
    </row>
    <row r="11" spans="3:13" x14ac:dyDescent="0.25">
      <c r="C11" t="s">
        <v>88</v>
      </c>
      <c r="D11" s="10">
        <v>7.4999999999999993E-5</v>
      </c>
      <c r="F11">
        <v>1.2</v>
      </c>
      <c r="G11" s="10">
        <f t="shared" si="0"/>
        <v>2.3999999999999998E-7</v>
      </c>
      <c r="H11" s="10">
        <f t="shared" si="1"/>
        <v>1375000.0000000002</v>
      </c>
      <c r="I11" s="10">
        <f t="shared" si="2"/>
        <v>2.7636363636363631E-6</v>
      </c>
      <c r="J11" s="10">
        <f t="shared" si="3"/>
        <v>1.4399999999999999E-7</v>
      </c>
      <c r="K11" s="10">
        <f t="shared" si="4"/>
        <v>4.5599999999999995E-7</v>
      </c>
      <c r="L11" s="10">
        <f t="shared" si="5"/>
        <v>0.84659999999999991</v>
      </c>
      <c r="M11" s="10">
        <f t="shared" si="6"/>
        <v>7.0871722182849043E-7</v>
      </c>
    </row>
    <row r="12" spans="3:13" x14ac:dyDescent="0.25">
      <c r="C12" t="s">
        <v>89</v>
      </c>
      <c r="D12" s="13">
        <v>1</v>
      </c>
      <c r="F12">
        <v>1.3</v>
      </c>
      <c r="G12" s="10">
        <f t="shared" si="0"/>
        <v>2.6E-7</v>
      </c>
      <c r="H12" s="10">
        <f t="shared" si="1"/>
        <v>1269230.7692307692</v>
      </c>
      <c r="I12" s="10">
        <f t="shared" si="2"/>
        <v>2.9151515151515152E-6</v>
      </c>
      <c r="J12" s="10">
        <f t="shared" si="3"/>
        <v>1.6900000000000002E-7</v>
      </c>
      <c r="K12" s="10">
        <f t="shared" si="4"/>
        <v>4.8100000000000003E-7</v>
      </c>
      <c r="L12" s="10">
        <f t="shared" si="5"/>
        <v>0.84659999999999991</v>
      </c>
      <c r="M12" s="10">
        <f t="shared" si="6"/>
        <v>7.6777699031419803E-7</v>
      </c>
    </row>
    <row r="13" spans="3:13" x14ac:dyDescent="0.25">
      <c r="C13" t="s">
        <v>91</v>
      </c>
      <c r="D13" s="13">
        <v>0.5</v>
      </c>
      <c r="F13">
        <v>1.4</v>
      </c>
      <c r="G13" s="10">
        <f t="shared" si="0"/>
        <v>2.7999999999999997E-7</v>
      </c>
      <c r="H13" s="10">
        <f t="shared" si="1"/>
        <v>1178571.4285714289</v>
      </c>
      <c r="I13" s="10">
        <f t="shared" si="2"/>
        <v>3.0545454545454537E-6</v>
      </c>
      <c r="J13" s="10">
        <f t="shared" si="3"/>
        <v>1.9599999999999996E-7</v>
      </c>
      <c r="K13" s="10">
        <f t="shared" si="4"/>
        <v>5.0399999999999996E-7</v>
      </c>
      <c r="L13" s="10">
        <f t="shared" si="5"/>
        <v>0.84659999999999991</v>
      </c>
      <c r="M13" s="10">
        <f t="shared" si="6"/>
        <v>8.2683675879990541E-7</v>
      </c>
    </row>
    <row r="14" spans="3:13" x14ac:dyDescent="0.25">
      <c r="F14">
        <v>1.5</v>
      </c>
      <c r="G14" s="10">
        <f t="shared" si="0"/>
        <v>2.9999999999999999E-7</v>
      </c>
      <c r="H14" s="10">
        <f t="shared" si="1"/>
        <v>1100000</v>
      </c>
      <c r="I14" s="10">
        <f t="shared" si="2"/>
        <v>3.1818181818181817E-6</v>
      </c>
      <c r="J14" s="10">
        <f t="shared" si="3"/>
        <v>2.2499999999999999E-7</v>
      </c>
      <c r="K14" s="10">
        <f t="shared" si="4"/>
        <v>5.2499999999999995E-7</v>
      </c>
      <c r="L14" s="10">
        <f t="shared" si="5"/>
        <v>0.84659999999999991</v>
      </c>
      <c r="M14" s="10">
        <f t="shared" si="6"/>
        <v>8.8589652728561301E-7</v>
      </c>
    </row>
    <row r="15" spans="3:13" x14ac:dyDescent="0.25">
      <c r="F15">
        <v>1.6</v>
      </c>
      <c r="G15" s="10">
        <f t="shared" si="0"/>
        <v>3.2000000000000001E-7</v>
      </c>
      <c r="H15" s="10">
        <f t="shared" si="1"/>
        <v>1031250</v>
      </c>
      <c r="I15" s="10">
        <f t="shared" si="2"/>
        <v>3.296969696969697E-6</v>
      </c>
      <c r="J15" s="10">
        <f t="shared" si="3"/>
        <v>2.5600000000000002E-7</v>
      </c>
      <c r="K15" s="10">
        <f t="shared" si="4"/>
        <v>5.44E-7</v>
      </c>
      <c r="L15" s="10">
        <f t="shared" si="5"/>
        <v>0.84659999999999991</v>
      </c>
      <c r="M15" s="10">
        <f t="shared" si="6"/>
        <v>9.4495629577132061E-7</v>
      </c>
    </row>
    <row r="16" spans="3:13" x14ac:dyDescent="0.25">
      <c r="F16">
        <v>1.7</v>
      </c>
      <c r="G16" s="10">
        <f t="shared" si="0"/>
        <v>3.3999999999999997E-7</v>
      </c>
      <c r="H16" s="10">
        <f t="shared" si="1"/>
        <v>970588.23529411783</v>
      </c>
      <c r="I16" s="10">
        <f t="shared" si="2"/>
        <v>3.3999999999999992E-6</v>
      </c>
      <c r="J16" s="10">
        <f t="shared" si="3"/>
        <v>2.8899999999999995E-7</v>
      </c>
      <c r="K16" s="10">
        <f t="shared" si="4"/>
        <v>5.609999999999999E-7</v>
      </c>
      <c r="L16" s="10">
        <f t="shared" si="5"/>
        <v>0.84659999999999991</v>
      </c>
      <c r="M16" s="10">
        <f t="shared" si="6"/>
        <v>1.0040160642570282E-6</v>
      </c>
    </row>
    <row r="17" spans="4:13" x14ac:dyDescent="0.25">
      <c r="F17">
        <v>1.8</v>
      </c>
      <c r="G17" s="10">
        <f t="shared" si="0"/>
        <v>3.5999999999999999E-7</v>
      </c>
      <c r="H17" s="10">
        <f t="shared" si="1"/>
        <v>916666.66666666674</v>
      </c>
      <c r="I17" s="10">
        <f t="shared" si="2"/>
        <v>3.4909090909090909E-6</v>
      </c>
      <c r="J17" s="10">
        <f t="shared" si="3"/>
        <v>3.2399999999999999E-7</v>
      </c>
      <c r="K17" s="10">
        <f t="shared" si="4"/>
        <v>5.7600000000000008E-7</v>
      </c>
      <c r="L17" s="10">
        <f t="shared" si="5"/>
        <v>0.84659999999999991</v>
      </c>
      <c r="M17" s="10">
        <f t="shared" si="6"/>
        <v>1.0630758327427359E-6</v>
      </c>
    </row>
    <row r="18" spans="4:13" x14ac:dyDescent="0.25">
      <c r="F18">
        <v>1.9</v>
      </c>
      <c r="G18" s="10">
        <f t="shared" si="0"/>
        <v>3.8000000000000001E-7</v>
      </c>
      <c r="H18" s="10">
        <f t="shared" si="1"/>
        <v>868421.05263157899</v>
      </c>
      <c r="I18" s="10">
        <f t="shared" si="2"/>
        <v>3.5696969696969694E-6</v>
      </c>
      <c r="J18" s="10">
        <f t="shared" si="3"/>
        <v>3.6100000000000002E-7</v>
      </c>
      <c r="K18" s="10">
        <f t="shared" si="4"/>
        <v>5.8899999999999999E-7</v>
      </c>
      <c r="L18" s="10">
        <f t="shared" si="5"/>
        <v>0.84659999999999991</v>
      </c>
      <c r="M18" s="10">
        <f t="shared" si="6"/>
        <v>1.1221356012284434E-6</v>
      </c>
    </row>
    <row r="19" spans="4:13" x14ac:dyDescent="0.25">
      <c r="F19">
        <v>2</v>
      </c>
      <c r="G19" s="10">
        <f t="shared" si="0"/>
        <v>4.0000000000000003E-7</v>
      </c>
      <c r="H19" s="10">
        <f t="shared" si="1"/>
        <v>825000</v>
      </c>
      <c r="I19" s="10">
        <f t="shared" si="2"/>
        <v>3.6363636363636362E-6</v>
      </c>
      <c r="J19" s="10">
        <f t="shared" si="3"/>
        <v>4.0000000000000003E-7</v>
      </c>
      <c r="K19" s="10">
        <f t="shared" si="4"/>
        <v>6.0000000000000008E-7</v>
      </c>
      <c r="L19" s="10">
        <f t="shared" si="5"/>
        <v>0.84659999999999991</v>
      </c>
      <c r="M19" s="10">
        <f t="shared" si="6"/>
        <v>1.1811953697141511E-6</v>
      </c>
    </row>
    <row r="20" spans="4:13" x14ac:dyDescent="0.25">
      <c r="F20">
        <v>2.1</v>
      </c>
      <c r="G20" s="10">
        <f t="shared" si="0"/>
        <v>4.2000000000000006E-7</v>
      </c>
      <c r="H20" s="10">
        <f t="shared" si="1"/>
        <v>785714.28571428568</v>
      </c>
      <c r="I20" s="10">
        <f t="shared" si="2"/>
        <v>3.6909090909090911E-6</v>
      </c>
      <c r="J20" s="10">
        <f t="shared" si="3"/>
        <v>4.410000000000001E-7</v>
      </c>
      <c r="K20" s="10">
        <f t="shared" si="4"/>
        <v>6.0900000000000001E-7</v>
      </c>
      <c r="L20" s="10">
        <f t="shared" si="5"/>
        <v>0.84659999999999991</v>
      </c>
      <c r="M20" s="10">
        <f t="shared" si="6"/>
        <v>1.2402551381998586E-6</v>
      </c>
    </row>
    <row r="21" spans="4:13" x14ac:dyDescent="0.25">
      <c r="F21">
        <v>2.2000000000000002</v>
      </c>
      <c r="G21" s="10">
        <f t="shared" si="0"/>
        <v>4.4000000000000008E-7</v>
      </c>
      <c r="H21" s="10">
        <f t="shared" si="1"/>
        <v>749999.99999999988</v>
      </c>
      <c r="I21" s="10">
        <f t="shared" si="2"/>
        <v>3.7333333333333337E-6</v>
      </c>
      <c r="J21" s="10">
        <f t="shared" si="3"/>
        <v>4.8400000000000015E-7</v>
      </c>
      <c r="K21" s="10">
        <f t="shared" si="4"/>
        <v>6.1600000000000012E-7</v>
      </c>
      <c r="L21" s="10">
        <f t="shared" si="5"/>
        <v>0.84659999999999991</v>
      </c>
      <c r="M21" s="10">
        <f t="shared" si="6"/>
        <v>1.2993149066855663E-6</v>
      </c>
    </row>
    <row r="22" spans="4:13" x14ac:dyDescent="0.25">
      <c r="D22" s="13">
        <f>D11*D10*0.015</f>
        <v>1.2698999999999998E-2</v>
      </c>
      <c r="F22">
        <v>2.2999999999999998</v>
      </c>
      <c r="G22" s="10">
        <f t="shared" si="0"/>
        <v>4.5999999999999999E-7</v>
      </c>
      <c r="H22" s="10">
        <f t="shared" si="1"/>
        <v>717391.30434782617</v>
      </c>
      <c r="I22" s="10">
        <f t="shared" si="2"/>
        <v>3.7636363636363633E-6</v>
      </c>
      <c r="J22" s="10">
        <f t="shared" si="3"/>
        <v>5.2899999999999993E-7</v>
      </c>
      <c r="K22" s="10">
        <f t="shared" si="4"/>
        <v>6.2100000000000007E-7</v>
      </c>
      <c r="L22" s="10">
        <f t="shared" si="5"/>
        <v>0.84659999999999991</v>
      </c>
      <c r="M22" s="10">
        <f t="shared" si="6"/>
        <v>1.3583746751712736E-6</v>
      </c>
    </row>
    <row r="23" spans="4:13" x14ac:dyDescent="0.25">
      <c r="F23">
        <v>2.4</v>
      </c>
      <c r="G23" s="10">
        <f t="shared" si="0"/>
        <v>4.7999999999999996E-7</v>
      </c>
      <c r="H23" s="10">
        <f t="shared" si="1"/>
        <v>687500.00000000012</v>
      </c>
      <c r="I23" s="10">
        <f t="shared" ref="I23:I35" si="7">($D$7-F23)/H23</f>
        <v>3.7818181818181815E-6</v>
      </c>
      <c r="J23" s="10">
        <f t="shared" ref="J23:J35" si="8">G23*F23*$D$13</f>
        <v>5.7599999999999997E-7</v>
      </c>
      <c r="K23" s="10">
        <f t="shared" ref="K23:K35" si="9">($D$7-F23)*G23/2</f>
        <v>6.2399999999999998E-7</v>
      </c>
      <c r="L23" s="10">
        <f t="shared" si="5"/>
        <v>0.84659999999999991</v>
      </c>
      <c r="M23" s="10">
        <f t="shared" ref="M23:M35" si="10">(J23+K23)/L23</f>
        <v>1.4174344436569809E-6</v>
      </c>
    </row>
    <row r="24" spans="4:13" x14ac:dyDescent="0.25">
      <c r="F24">
        <v>2.5</v>
      </c>
      <c r="G24" s="10">
        <f t="shared" si="0"/>
        <v>4.9999999999999998E-7</v>
      </c>
      <c r="H24" s="10">
        <f t="shared" si="1"/>
        <v>660000.00000000012</v>
      </c>
      <c r="I24" s="10">
        <f t="shared" si="7"/>
        <v>3.7878787878787874E-6</v>
      </c>
      <c r="J24" s="10">
        <f t="shared" si="8"/>
        <v>6.2499999999999995E-7</v>
      </c>
      <c r="K24" s="10">
        <f t="shared" si="9"/>
        <v>6.2499999999999995E-7</v>
      </c>
      <c r="L24" s="10">
        <f t="shared" si="5"/>
        <v>0.84659999999999991</v>
      </c>
      <c r="M24" s="10">
        <f t="shared" si="10"/>
        <v>1.4764942121426884E-6</v>
      </c>
    </row>
    <row r="25" spans="4:13" x14ac:dyDescent="0.25">
      <c r="F25">
        <v>2.6</v>
      </c>
      <c r="G25" s="10">
        <f t="shared" si="0"/>
        <v>5.2E-7</v>
      </c>
      <c r="H25" s="10">
        <f t="shared" si="1"/>
        <v>634615.38461538462</v>
      </c>
      <c r="I25" s="10">
        <f t="shared" si="7"/>
        <v>3.7818181818181815E-6</v>
      </c>
      <c r="J25" s="10">
        <f t="shared" si="8"/>
        <v>6.7600000000000007E-7</v>
      </c>
      <c r="K25" s="10">
        <f t="shared" si="9"/>
        <v>6.2399999999999998E-7</v>
      </c>
      <c r="L25" s="10">
        <f t="shared" si="5"/>
        <v>0.84659999999999991</v>
      </c>
      <c r="M25" s="10">
        <f t="shared" si="10"/>
        <v>1.5355539806283961E-6</v>
      </c>
    </row>
    <row r="26" spans="4:13" x14ac:dyDescent="0.25">
      <c r="F26">
        <v>2.7</v>
      </c>
      <c r="G26" s="10">
        <f t="shared" si="0"/>
        <v>5.4000000000000002E-7</v>
      </c>
      <c r="H26" s="10">
        <f t="shared" si="1"/>
        <v>611111.11111111112</v>
      </c>
      <c r="I26" s="10">
        <f t="shared" si="7"/>
        <v>3.7636363636363633E-6</v>
      </c>
      <c r="J26" s="10">
        <f t="shared" si="8"/>
        <v>7.2900000000000003E-7</v>
      </c>
      <c r="K26" s="10">
        <f t="shared" si="9"/>
        <v>6.2099999999999996E-7</v>
      </c>
      <c r="L26" s="10">
        <f t="shared" si="5"/>
        <v>0.84659999999999991</v>
      </c>
      <c r="M26" s="10">
        <f t="shared" si="10"/>
        <v>1.5946137491141035E-6</v>
      </c>
    </row>
    <row r="27" spans="4:13" x14ac:dyDescent="0.25">
      <c r="F27">
        <v>2.8</v>
      </c>
      <c r="G27" s="10">
        <f t="shared" si="0"/>
        <v>5.5999999999999993E-7</v>
      </c>
      <c r="H27" s="10">
        <f t="shared" si="1"/>
        <v>589285.71428571444</v>
      </c>
      <c r="I27" s="10">
        <f t="shared" si="7"/>
        <v>3.7333333333333329E-6</v>
      </c>
      <c r="J27" s="10">
        <f t="shared" si="8"/>
        <v>7.8399999999999982E-7</v>
      </c>
      <c r="K27" s="10">
        <f t="shared" si="9"/>
        <v>6.1600000000000001E-7</v>
      </c>
      <c r="L27" s="10">
        <f t="shared" si="5"/>
        <v>0.84659999999999991</v>
      </c>
      <c r="M27" s="10">
        <f t="shared" si="10"/>
        <v>1.6536735175998108E-6</v>
      </c>
    </row>
    <row r="28" spans="4:13" x14ac:dyDescent="0.25">
      <c r="F28">
        <v>2.9</v>
      </c>
      <c r="G28" s="10">
        <f t="shared" si="0"/>
        <v>5.7999999999999995E-7</v>
      </c>
      <c r="H28" s="10">
        <f t="shared" si="1"/>
        <v>568965.51724137936</v>
      </c>
      <c r="I28" s="10">
        <f t="shared" si="7"/>
        <v>3.6909090909090906E-6</v>
      </c>
      <c r="J28" s="10">
        <f t="shared" si="8"/>
        <v>8.4099999999999987E-7</v>
      </c>
      <c r="K28" s="10">
        <f t="shared" si="9"/>
        <v>6.0900000000000001E-7</v>
      </c>
      <c r="L28" s="10">
        <f t="shared" si="5"/>
        <v>0.84659999999999991</v>
      </c>
      <c r="M28" s="10">
        <f t="shared" si="10"/>
        <v>1.7127332860855185E-6</v>
      </c>
    </row>
    <row r="29" spans="4:13" x14ac:dyDescent="0.25">
      <c r="F29">
        <v>3</v>
      </c>
      <c r="G29" s="10">
        <f t="shared" si="0"/>
        <v>5.9999999999999997E-7</v>
      </c>
      <c r="H29" s="10">
        <f t="shared" si="1"/>
        <v>550000</v>
      </c>
      <c r="I29" s="10">
        <f t="shared" si="7"/>
        <v>3.6363636363636362E-6</v>
      </c>
      <c r="J29" s="10">
        <f t="shared" si="8"/>
        <v>8.9999999999999996E-7</v>
      </c>
      <c r="K29" s="10">
        <f t="shared" si="9"/>
        <v>5.9999999999999997E-7</v>
      </c>
      <c r="L29" s="10">
        <f t="shared" si="5"/>
        <v>0.84659999999999991</v>
      </c>
      <c r="M29" s="10">
        <f t="shared" si="10"/>
        <v>1.7717930545712262E-6</v>
      </c>
    </row>
    <row r="30" spans="4:13" x14ac:dyDescent="0.25">
      <c r="F30">
        <v>3.1</v>
      </c>
      <c r="G30" s="10">
        <f t="shared" si="0"/>
        <v>6.1999999999999999E-7</v>
      </c>
      <c r="H30" s="10">
        <f t="shared" si="1"/>
        <v>532258.06451612909</v>
      </c>
      <c r="I30" s="10">
        <f t="shared" si="7"/>
        <v>3.569696969696969E-6</v>
      </c>
      <c r="J30" s="10">
        <f t="shared" si="8"/>
        <v>9.6099999999999999E-7</v>
      </c>
      <c r="K30" s="10">
        <f t="shared" si="9"/>
        <v>5.8899999999999999E-7</v>
      </c>
      <c r="L30" s="10">
        <f t="shared" si="5"/>
        <v>0.84659999999999991</v>
      </c>
      <c r="M30" s="10">
        <f t="shared" si="10"/>
        <v>1.8308528230569337E-6</v>
      </c>
    </row>
    <row r="31" spans="4:13" x14ac:dyDescent="0.25">
      <c r="F31">
        <v>3.2</v>
      </c>
      <c r="G31" s="10">
        <f t="shared" si="0"/>
        <v>6.4000000000000001E-7</v>
      </c>
      <c r="H31" s="10">
        <f t="shared" si="1"/>
        <v>515625</v>
      </c>
      <c r="I31" s="10">
        <f t="shared" si="7"/>
        <v>3.4909090909090904E-6</v>
      </c>
      <c r="J31" s="10">
        <f t="shared" si="8"/>
        <v>1.0240000000000001E-6</v>
      </c>
      <c r="K31" s="10">
        <f t="shared" si="9"/>
        <v>5.7599999999999997E-7</v>
      </c>
      <c r="L31" s="10">
        <f t="shared" si="5"/>
        <v>0.84659999999999991</v>
      </c>
      <c r="M31" s="10">
        <f t="shared" si="10"/>
        <v>1.8899125915426412E-6</v>
      </c>
    </row>
    <row r="32" spans="4:13" x14ac:dyDescent="0.25">
      <c r="F32">
        <v>3.3</v>
      </c>
      <c r="G32" s="10">
        <f t="shared" si="0"/>
        <v>6.5999999999999993E-7</v>
      </c>
      <c r="H32" s="10">
        <f t="shared" si="1"/>
        <v>500000.00000000006</v>
      </c>
      <c r="I32" s="10">
        <f t="shared" si="7"/>
        <v>3.4000000000000001E-6</v>
      </c>
      <c r="J32" s="10">
        <f t="shared" si="8"/>
        <v>1.0889999999999999E-6</v>
      </c>
      <c r="K32" s="10">
        <f t="shared" si="9"/>
        <v>5.6100000000000001E-7</v>
      </c>
      <c r="L32" s="10">
        <f t="shared" si="5"/>
        <v>0.84659999999999991</v>
      </c>
      <c r="M32" s="10">
        <f t="shared" si="10"/>
        <v>1.9489723600283489E-6</v>
      </c>
    </row>
    <row r="33" spans="6:13" x14ac:dyDescent="0.25">
      <c r="F33">
        <v>3.4</v>
      </c>
      <c r="G33" s="10">
        <f t="shared" si="0"/>
        <v>6.7999999999999995E-7</v>
      </c>
      <c r="H33" s="10">
        <f t="shared" si="1"/>
        <v>485294.11764705891</v>
      </c>
      <c r="I33" s="10">
        <f t="shared" si="7"/>
        <v>3.2969696969696966E-6</v>
      </c>
      <c r="J33" s="10">
        <f t="shared" si="8"/>
        <v>1.1559999999999998E-6</v>
      </c>
      <c r="K33" s="10">
        <f t="shared" si="9"/>
        <v>5.44E-7</v>
      </c>
      <c r="L33" s="10">
        <f t="shared" si="5"/>
        <v>0.84659999999999991</v>
      </c>
      <c r="M33" s="10">
        <f t="shared" si="10"/>
        <v>2.0080321285140564E-6</v>
      </c>
    </row>
    <row r="34" spans="6:13" x14ac:dyDescent="0.25">
      <c r="F34">
        <v>3.5</v>
      </c>
      <c r="G34" s="10">
        <f t="shared" si="0"/>
        <v>6.9999999999999997E-7</v>
      </c>
      <c r="H34" s="10">
        <f t="shared" si="1"/>
        <v>471428.57142857148</v>
      </c>
      <c r="I34" s="10">
        <f t="shared" si="7"/>
        <v>3.1818181818181813E-6</v>
      </c>
      <c r="J34" s="10">
        <f t="shared" si="8"/>
        <v>1.2249999999999999E-6</v>
      </c>
      <c r="K34" s="10">
        <f t="shared" si="9"/>
        <v>5.2499999999999995E-7</v>
      </c>
      <c r="L34" s="10">
        <f t="shared" si="5"/>
        <v>0.84659999999999991</v>
      </c>
      <c r="M34" s="10">
        <f t="shared" si="10"/>
        <v>2.0670918969997639E-6</v>
      </c>
    </row>
    <row r="35" spans="6:13" x14ac:dyDescent="0.25">
      <c r="F35">
        <v>3.6</v>
      </c>
      <c r="G35" s="10">
        <f t="shared" si="0"/>
        <v>7.1999999999999999E-7</v>
      </c>
      <c r="H35" s="10">
        <f t="shared" si="1"/>
        <v>458333.33333333337</v>
      </c>
      <c r="I35" s="10">
        <f t="shared" si="7"/>
        <v>3.0545454545454541E-6</v>
      </c>
      <c r="J35" s="10">
        <f t="shared" si="8"/>
        <v>1.296E-6</v>
      </c>
      <c r="K35" s="10">
        <f t="shared" si="9"/>
        <v>5.0399999999999996E-7</v>
      </c>
      <c r="L35" s="10">
        <f t="shared" si="5"/>
        <v>0.84659999999999991</v>
      </c>
      <c r="M35" s="10">
        <f t="shared" si="10"/>
        <v>2.1261516654854714E-6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4"/>
  <sheetViews>
    <sheetView workbookViewId="0">
      <selection activeCell="Q6" sqref="Q6"/>
    </sheetView>
  </sheetViews>
  <sheetFormatPr defaultColWidth="8.88671875" defaultRowHeight="13.2" x14ac:dyDescent="0.25"/>
  <cols>
    <col min="1" max="1" width="16.6640625" style="43" customWidth="1"/>
    <col min="2" max="2" width="7" style="43" customWidth="1"/>
    <col min="3" max="3" width="7.6640625" style="43" customWidth="1"/>
    <col min="4" max="4" width="6.5546875" style="43" customWidth="1"/>
    <col min="5" max="5" width="10.33203125" style="43" customWidth="1"/>
    <col min="6" max="6" width="9.5546875" style="43" customWidth="1"/>
    <col min="7" max="7" width="5.5546875" style="43" customWidth="1"/>
    <col min="8" max="9" width="8.88671875" style="43"/>
    <col min="10" max="10" width="9.33203125" style="43" customWidth="1"/>
    <col min="11" max="13" width="8.88671875" style="43"/>
    <col min="14" max="14" width="9.109375" style="43" customWidth="1"/>
    <col min="15" max="15" width="8.33203125" style="43" customWidth="1"/>
    <col min="16" max="16" width="8.5546875" style="43" customWidth="1"/>
    <col min="17" max="17" width="10" style="43" bestFit="1" customWidth="1"/>
    <col min="18" max="18" width="9.33203125" style="43" bestFit="1" customWidth="1"/>
    <col min="19" max="21" width="8.88671875" style="43"/>
    <col min="22" max="22" width="16.44140625" style="64" bestFit="1" customWidth="1"/>
    <col min="23" max="16384" width="8.88671875" style="43"/>
  </cols>
  <sheetData>
    <row r="1" spans="1:28" ht="15.9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O1" s="42"/>
      <c r="P1" s="42"/>
      <c r="Q1" s="42"/>
      <c r="V1" s="44"/>
      <c r="W1" s="45"/>
      <c r="X1" s="45"/>
      <c r="Y1" s="45"/>
      <c r="Z1" s="45"/>
      <c r="AA1" s="45"/>
      <c r="AB1" s="45"/>
    </row>
    <row r="2" spans="1:28" s="46" customFormat="1" ht="15.9" customHeight="1" x14ac:dyDescent="0.25">
      <c r="A2" s="46" t="s">
        <v>96</v>
      </c>
      <c r="B2" s="46" t="s">
        <v>97</v>
      </c>
      <c r="C2" s="46" t="s">
        <v>98</v>
      </c>
      <c r="D2" s="46" t="s">
        <v>99</v>
      </c>
      <c r="E2" s="46" t="s">
        <v>100</v>
      </c>
      <c r="F2" s="46" t="s">
        <v>101</v>
      </c>
      <c r="G2" s="46" t="s">
        <v>102</v>
      </c>
      <c r="H2" s="46" t="s">
        <v>103</v>
      </c>
      <c r="I2" s="46" t="s">
        <v>104</v>
      </c>
      <c r="J2" s="46" t="s">
        <v>105</v>
      </c>
      <c r="K2" s="46" t="s">
        <v>106</v>
      </c>
      <c r="L2" s="46" t="s">
        <v>107</v>
      </c>
      <c r="M2" s="46" t="s">
        <v>108</v>
      </c>
      <c r="N2" s="47" t="s">
        <v>109</v>
      </c>
      <c r="O2" s="47" t="s">
        <v>110</v>
      </c>
      <c r="P2" s="46" t="s">
        <v>111</v>
      </c>
      <c r="Q2" s="47" t="s">
        <v>112</v>
      </c>
      <c r="R2" s="47" t="s">
        <v>113</v>
      </c>
      <c r="V2" s="48"/>
      <c r="W2" s="49"/>
      <c r="X2" s="49"/>
      <c r="Y2" s="49"/>
      <c r="Z2" s="49"/>
      <c r="AA2" s="49"/>
      <c r="AB2" s="49"/>
    </row>
    <row r="3" spans="1:28" ht="15.9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V3" s="50"/>
      <c r="W3" s="51"/>
      <c r="X3" s="51"/>
      <c r="Y3" s="51"/>
      <c r="Z3" s="51"/>
      <c r="AA3" s="51"/>
      <c r="AB3" s="51"/>
    </row>
    <row r="4" spans="1:28" s="58" customFormat="1" ht="15.9" customHeight="1" x14ac:dyDescent="0.25">
      <c r="A4" s="52" t="s">
        <v>114</v>
      </c>
      <c r="B4" s="53">
        <v>4.5</v>
      </c>
      <c r="C4" s="53">
        <v>6</v>
      </c>
      <c r="D4" s="53">
        <v>2</v>
      </c>
      <c r="E4" s="53">
        <v>3000</v>
      </c>
      <c r="F4" s="53">
        <v>100</v>
      </c>
      <c r="G4" s="53">
        <v>2.6</v>
      </c>
      <c r="H4" s="54">
        <v>2.9999999999999997E-8</v>
      </c>
      <c r="I4" s="55">
        <v>320</v>
      </c>
      <c r="J4" s="54">
        <v>1.2999999999999999E-3</v>
      </c>
      <c r="K4" s="54">
        <v>1</v>
      </c>
      <c r="L4" s="54">
        <v>0.2</v>
      </c>
      <c r="M4" s="54">
        <v>0.2</v>
      </c>
      <c r="N4" s="54">
        <v>1.2500000000000001E-6</v>
      </c>
      <c r="O4" s="56">
        <v>2.2000000000000002</v>
      </c>
      <c r="P4" s="54">
        <v>1.0999999999999999E-10</v>
      </c>
      <c r="Q4" s="57">
        <v>1.55</v>
      </c>
      <c r="R4" s="54">
        <v>1.6E-11</v>
      </c>
      <c r="V4" s="59"/>
      <c r="W4" s="60"/>
      <c r="X4" s="60"/>
      <c r="Y4" s="60"/>
      <c r="Z4" s="60"/>
      <c r="AA4" s="60"/>
      <c r="AB4" s="60"/>
    </row>
    <row r="5" spans="1:28" s="58" customFormat="1" ht="15.9" customHeight="1" x14ac:dyDescent="0.25">
      <c r="A5" s="52" t="s">
        <v>115</v>
      </c>
      <c r="B5" s="53">
        <v>4.5</v>
      </c>
      <c r="C5" s="53">
        <v>6</v>
      </c>
      <c r="D5" s="53">
        <v>6</v>
      </c>
      <c r="E5" s="53">
        <v>3000</v>
      </c>
      <c r="F5" s="53">
        <v>100</v>
      </c>
      <c r="G5" s="53">
        <v>7.2</v>
      </c>
      <c r="H5" s="54">
        <v>2.9999999999999997E-8</v>
      </c>
      <c r="I5" s="55">
        <v>430</v>
      </c>
      <c r="J5" s="54">
        <v>1.2999999999999999E-3</v>
      </c>
      <c r="K5" s="54">
        <v>1</v>
      </c>
      <c r="L5" s="54">
        <v>7.0000000000000007E-2</v>
      </c>
      <c r="M5" s="54">
        <v>7.0000000000000007E-2</v>
      </c>
      <c r="N5" s="54">
        <v>1.2500000000000001E-6</v>
      </c>
      <c r="O5" s="56">
        <v>6.3</v>
      </c>
      <c r="P5" s="54">
        <v>1.0999999999999999E-10</v>
      </c>
      <c r="Q5" s="57">
        <v>1.55</v>
      </c>
      <c r="R5" s="54">
        <v>1.6E-11</v>
      </c>
      <c r="V5" s="59"/>
      <c r="W5" s="60"/>
      <c r="X5" s="60"/>
      <c r="Y5" s="60"/>
      <c r="Z5" s="60"/>
      <c r="AA5" s="60"/>
      <c r="AB5" s="60"/>
    </row>
    <row r="6" spans="1:28" s="58" customFormat="1" ht="15.9" customHeight="1" x14ac:dyDescent="0.25">
      <c r="A6" s="52" t="s">
        <v>116</v>
      </c>
      <c r="B6" s="53">
        <v>4.5</v>
      </c>
      <c r="C6" s="53">
        <v>6</v>
      </c>
      <c r="D6" s="53">
        <v>10</v>
      </c>
      <c r="E6" s="53">
        <v>3000</v>
      </c>
      <c r="F6" s="53">
        <v>100</v>
      </c>
      <c r="G6" s="53">
        <v>12</v>
      </c>
      <c r="H6" s="54">
        <v>2.9999999999999997E-8</v>
      </c>
      <c r="I6" s="55">
        <v>445</v>
      </c>
      <c r="J6" s="54">
        <v>1.2999999999999999E-3</v>
      </c>
      <c r="K6" s="54">
        <v>1</v>
      </c>
      <c r="L6" s="54">
        <v>3.2000000000000001E-2</v>
      </c>
      <c r="M6" s="54">
        <v>3.2000000000000001E-2</v>
      </c>
      <c r="N6" s="54">
        <v>1.2500000000000001E-6</v>
      </c>
      <c r="O6" s="56">
        <v>10.5</v>
      </c>
      <c r="P6" s="54">
        <v>1.0999999999999999E-10</v>
      </c>
      <c r="Q6" s="57">
        <v>1.55</v>
      </c>
      <c r="R6" s="54">
        <v>1.6E-11</v>
      </c>
      <c r="V6" s="59"/>
      <c r="W6" s="60"/>
      <c r="X6" s="60"/>
      <c r="Y6" s="60"/>
      <c r="Z6" s="60"/>
      <c r="AA6" s="60"/>
      <c r="AB6" s="60"/>
    </row>
    <row r="7" spans="1:28" ht="15.9" customHeight="1" x14ac:dyDescent="0.25">
      <c r="V7" s="50"/>
      <c r="W7" s="51"/>
      <c r="X7" s="51"/>
      <c r="Y7" s="51"/>
      <c r="Z7" s="51"/>
      <c r="AA7" s="51"/>
      <c r="AB7" s="51"/>
    </row>
    <row r="8" spans="1:28" ht="15.9" customHeight="1" x14ac:dyDescent="0.25">
      <c r="V8" s="50"/>
      <c r="W8" s="51"/>
      <c r="X8" s="51"/>
      <c r="Y8" s="51"/>
      <c r="Z8" s="51"/>
      <c r="AA8" s="51"/>
      <c r="AB8" s="51"/>
    </row>
    <row r="9" spans="1:28" ht="15.9" customHeight="1" x14ac:dyDescent="0.25">
      <c r="V9" s="50"/>
      <c r="W9" s="51"/>
      <c r="X9" s="51"/>
      <c r="Y9" s="51"/>
      <c r="Z9" s="51"/>
      <c r="AA9" s="51"/>
      <c r="AB9" s="51"/>
    </row>
    <row r="10" spans="1:28" ht="15.9" customHeight="1" x14ac:dyDescent="0.25">
      <c r="V10" s="50"/>
      <c r="W10" s="51"/>
      <c r="X10" s="51"/>
      <c r="Y10" s="51"/>
      <c r="Z10" s="51"/>
      <c r="AA10" s="51"/>
      <c r="AB10" s="51"/>
    </row>
    <row r="11" spans="1:28" ht="15.9" customHeight="1" x14ac:dyDescent="0.25">
      <c r="V11" s="50"/>
      <c r="W11" s="51"/>
      <c r="X11" s="51"/>
      <c r="Y11" s="51"/>
      <c r="Z11" s="51"/>
      <c r="AA11" s="51"/>
      <c r="AB11" s="51"/>
    </row>
    <row r="12" spans="1:28" ht="15.9" customHeight="1" x14ac:dyDescent="0.25">
      <c r="V12" s="50"/>
      <c r="W12" s="51"/>
      <c r="X12" s="51"/>
      <c r="Y12" s="51"/>
      <c r="Z12" s="51"/>
      <c r="AA12" s="51"/>
      <c r="AB12" s="51"/>
    </row>
    <row r="13" spans="1:28" ht="15.9" customHeight="1" x14ac:dyDescent="0.25">
      <c r="V13" s="50"/>
      <c r="W13" s="51"/>
      <c r="X13" s="51"/>
      <c r="Y13" s="51"/>
      <c r="Z13" s="51"/>
      <c r="AA13" s="51"/>
      <c r="AB13" s="51"/>
    </row>
    <row r="14" spans="1:28" ht="15.9" customHeight="1" x14ac:dyDescent="0.25">
      <c r="V14" s="50"/>
      <c r="W14" s="51"/>
      <c r="X14" s="51"/>
      <c r="Y14" s="51"/>
      <c r="Z14" s="51"/>
      <c r="AA14" s="51"/>
      <c r="AB14" s="51"/>
    </row>
    <row r="15" spans="1:28" ht="15.9" customHeight="1" x14ac:dyDescent="0.25">
      <c r="V15" s="50"/>
      <c r="W15" s="51"/>
      <c r="X15" s="51"/>
      <c r="Y15" s="51"/>
      <c r="Z15" s="51"/>
      <c r="AA15" s="51"/>
      <c r="AB15" s="51"/>
    </row>
    <row r="16" spans="1:28" ht="15.9" customHeight="1" x14ac:dyDescent="0.25">
      <c r="V16" s="50"/>
      <c r="W16" s="51"/>
      <c r="X16" s="51"/>
      <c r="Y16" s="51"/>
      <c r="Z16" s="51"/>
      <c r="AA16" s="51"/>
      <c r="AB16" s="51"/>
    </row>
    <row r="17" spans="22:28" ht="15.9" customHeight="1" x14ac:dyDescent="0.25">
      <c r="V17" s="50"/>
      <c r="W17" s="51"/>
      <c r="X17" s="51"/>
      <c r="Y17" s="51"/>
      <c r="Z17" s="51"/>
      <c r="AA17" s="51"/>
      <c r="AB17" s="51"/>
    </row>
    <row r="18" spans="22:28" ht="15.9" customHeight="1" x14ac:dyDescent="0.25">
      <c r="V18" s="50"/>
      <c r="W18" s="51"/>
      <c r="X18" s="51"/>
      <c r="Y18" s="51"/>
      <c r="Z18" s="51"/>
      <c r="AA18" s="51"/>
      <c r="AB18" s="51"/>
    </row>
    <row r="19" spans="22:28" ht="15.9" customHeight="1" x14ac:dyDescent="0.25">
      <c r="V19" s="50"/>
      <c r="W19" s="51"/>
      <c r="X19" s="51"/>
      <c r="Y19" s="51"/>
      <c r="Z19" s="51"/>
      <c r="AA19" s="51"/>
      <c r="AB19" s="51"/>
    </row>
    <row r="20" spans="22:28" ht="15.9" customHeight="1" x14ac:dyDescent="0.25">
      <c r="V20" s="50"/>
      <c r="W20" s="51"/>
      <c r="X20" s="51"/>
      <c r="Y20" s="51"/>
      <c r="Z20" s="51"/>
      <c r="AA20" s="51"/>
      <c r="AB20" s="51"/>
    </row>
    <row r="21" spans="22:28" ht="15.9" customHeight="1" x14ac:dyDescent="0.25">
      <c r="V21" s="50"/>
      <c r="W21" s="51"/>
      <c r="X21" s="51"/>
      <c r="Y21" s="51"/>
      <c r="Z21" s="51"/>
      <c r="AA21" s="51"/>
      <c r="AB21" s="51"/>
    </row>
    <row r="22" spans="22:28" ht="15.9" customHeight="1" x14ac:dyDescent="0.25">
      <c r="V22" s="50"/>
      <c r="W22" s="51"/>
      <c r="X22" s="51"/>
      <c r="Y22" s="51"/>
      <c r="Z22" s="51"/>
      <c r="AA22" s="51"/>
      <c r="AB22" s="51"/>
    </row>
    <row r="23" spans="22:28" ht="15.9" customHeight="1" x14ac:dyDescent="0.25">
      <c r="V23" s="50"/>
      <c r="W23" s="51"/>
      <c r="X23" s="51"/>
      <c r="Y23" s="51"/>
      <c r="Z23" s="51"/>
      <c r="AA23" s="51"/>
      <c r="AB23" s="51"/>
    </row>
    <row r="24" spans="22:28" ht="15.9" customHeight="1" x14ac:dyDescent="0.25">
      <c r="V24" s="50"/>
      <c r="W24" s="51"/>
      <c r="X24" s="51"/>
      <c r="Y24" s="51"/>
      <c r="Z24" s="51"/>
      <c r="AA24" s="51"/>
      <c r="AB24" s="51"/>
    </row>
    <row r="25" spans="22:28" ht="15.9" customHeight="1" x14ac:dyDescent="0.25">
      <c r="V25" s="50"/>
      <c r="W25" s="51"/>
      <c r="X25" s="51"/>
      <c r="Y25" s="51"/>
      <c r="Z25" s="51"/>
      <c r="AA25" s="51"/>
      <c r="AB25" s="51"/>
    </row>
    <row r="26" spans="22:28" ht="15.9" customHeight="1" x14ac:dyDescent="0.25">
      <c r="V26" s="50"/>
      <c r="W26" s="51"/>
      <c r="X26" s="51"/>
      <c r="Y26" s="51"/>
      <c r="Z26" s="51"/>
      <c r="AA26" s="51"/>
      <c r="AB26" s="51"/>
    </row>
    <row r="27" spans="22:28" ht="15.9" customHeight="1" x14ac:dyDescent="0.25">
      <c r="V27" s="50"/>
      <c r="W27" s="51"/>
      <c r="X27" s="51"/>
      <c r="Y27" s="51"/>
      <c r="Z27" s="51"/>
      <c r="AA27" s="51"/>
      <c r="AB27" s="51"/>
    </row>
    <row r="28" spans="22:28" ht="15.9" customHeight="1" x14ac:dyDescent="0.25">
      <c r="V28" s="50"/>
      <c r="W28" s="51"/>
      <c r="X28" s="51"/>
      <c r="Y28" s="51"/>
      <c r="Z28" s="51"/>
      <c r="AA28" s="51"/>
      <c r="AB28" s="51"/>
    </row>
    <row r="29" spans="22:28" ht="15.9" customHeight="1" x14ac:dyDescent="0.25">
      <c r="V29" s="50"/>
      <c r="W29" s="51"/>
      <c r="X29" s="51"/>
      <c r="Y29" s="51"/>
      <c r="Z29" s="51"/>
      <c r="AA29" s="51"/>
      <c r="AB29" s="51"/>
    </row>
    <row r="30" spans="22:28" ht="15.9" customHeight="1" x14ac:dyDescent="0.25">
      <c r="V30" s="50"/>
      <c r="W30" s="51"/>
      <c r="X30" s="51"/>
      <c r="Y30" s="51"/>
      <c r="Z30" s="51"/>
      <c r="AA30" s="51"/>
      <c r="AB30" s="51"/>
    </row>
    <row r="31" spans="22:28" ht="15.9" customHeight="1" x14ac:dyDescent="0.25">
      <c r="V31" s="50"/>
      <c r="W31" s="51"/>
      <c r="X31" s="51"/>
      <c r="Y31" s="51"/>
      <c r="Z31" s="51"/>
      <c r="AA31" s="51"/>
      <c r="AB31" s="51"/>
    </row>
    <row r="32" spans="22:28" ht="15.9" customHeight="1" x14ac:dyDescent="0.25">
      <c r="V32" s="50"/>
      <c r="W32" s="51"/>
      <c r="X32" s="51"/>
      <c r="Y32" s="51"/>
      <c r="Z32" s="51"/>
      <c r="AA32" s="51"/>
      <c r="AB32" s="51"/>
    </row>
    <row r="33" spans="22:28" ht="15.9" customHeight="1" x14ac:dyDescent="0.25">
      <c r="V33" s="50"/>
      <c r="W33" s="51"/>
      <c r="X33" s="51"/>
      <c r="Y33" s="51"/>
      <c r="Z33" s="51"/>
      <c r="AA33" s="51"/>
      <c r="AB33" s="51"/>
    </row>
    <row r="34" spans="22:28" ht="15.9" customHeight="1" x14ac:dyDescent="0.25">
      <c r="V34" s="50"/>
      <c r="W34" s="51"/>
      <c r="X34" s="51"/>
      <c r="Y34" s="51"/>
      <c r="Z34" s="51"/>
      <c r="AA34" s="51"/>
      <c r="AB34" s="51"/>
    </row>
    <row r="35" spans="22:28" ht="15.9" customHeight="1" x14ac:dyDescent="0.25">
      <c r="V35" s="50"/>
      <c r="W35" s="51"/>
      <c r="X35" s="51"/>
      <c r="Y35" s="51"/>
      <c r="Z35" s="51"/>
      <c r="AA35" s="51"/>
      <c r="AB35" s="51"/>
    </row>
    <row r="36" spans="22:28" ht="15.9" customHeight="1" x14ac:dyDescent="0.25">
      <c r="V36" s="50"/>
      <c r="W36" s="51"/>
      <c r="X36" s="51"/>
      <c r="Y36" s="51"/>
      <c r="Z36" s="51"/>
      <c r="AA36" s="51"/>
      <c r="AB36" s="51"/>
    </row>
    <row r="37" spans="22:28" ht="15.9" customHeight="1" x14ac:dyDescent="0.25">
      <c r="V37" s="50"/>
      <c r="W37" s="51"/>
      <c r="X37" s="51"/>
      <c r="Y37" s="51"/>
      <c r="Z37" s="51"/>
      <c r="AA37" s="51"/>
      <c r="AB37" s="51"/>
    </row>
    <row r="38" spans="22:28" ht="15.9" customHeight="1" x14ac:dyDescent="0.25">
      <c r="V38" s="50"/>
      <c r="W38" s="51"/>
      <c r="X38" s="51"/>
      <c r="Y38" s="51"/>
      <c r="Z38" s="51"/>
      <c r="AA38" s="51"/>
      <c r="AB38" s="51"/>
    </row>
    <row r="39" spans="22:28" ht="15.9" customHeight="1" x14ac:dyDescent="0.25">
      <c r="V39" s="50"/>
      <c r="W39" s="51"/>
      <c r="X39" s="51"/>
      <c r="Y39" s="51"/>
      <c r="Z39" s="51"/>
      <c r="AA39" s="51"/>
      <c r="AB39" s="51"/>
    </row>
    <row r="40" spans="22:28" ht="15.9" customHeight="1" x14ac:dyDescent="0.25">
      <c r="V40" s="61"/>
      <c r="W40" s="62"/>
      <c r="X40" s="63"/>
      <c r="Y40" s="63"/>
      <c r="Z40" s="63"/>
      <c r="AA40" s="63"/>
      <c r="AB40" s="63"/>
    </row>
    <row r="41" spans="22:28" ht="15.9" customHeight="1" x14ac:dyDescent="0.25">
      <c r="V41" s="61"/>
      <c r="W41" s="62"/>
      <c r="X41" s="63"/>
      <c r="Y41" s="63"/>
      <c r="Z41" s="63"/>
      <c r="AA41" s="63"/>
      <c r="AB41" s="63"/>
    </row>
    <row r="42" spans="22:28" ht="15.9" customHeight="1" x14ac:dyDescent="0.25">
      <c r="V42" s="61"/>
      <c r="W42" s="62"/>
      <c r="X42" s="63"/>
      <c r="Y42" s="63"/>
      <c r="Z42" s="63"/>
      <c r="AA42" s="63"/>
      <c r="AB42" s="63"/>
    </row>
    <row r="43" spans="22:28" ht="15.9" customHeight="1" x14ac:dyDescent="0.25">
      <c r="V43" s="61"/>
      <c r="W43" s="62"/>
      <c r="X43" s="63"/>
      <c r="Y43" s="63"/>
      <c r="Z43" s="63"/>
      <c r="AA43" s="63"/>
      <c r="AB43" s="63"/>
    </row>
    <row r="44" spans="22:28" ht="15.9" customHeight="1" x14ac:dyDescent="0.25">
      <c r="V44" s="61"/>
      <c r="W44" s="62"/>
      <c r="X44" s="63"/>
      <c r="Y44" s="63"/>
      <c r="Z44" s="63"/>
      <c r="AA44" s="63"/>
      <c r="AB44" s="63"/>
    </row>
    <row r="45" spans="22:28" ht="15.9" customHeight="1" x14ac:dyDescent="0.25">
      <c r="V45" s="61"/>
      <c r="W45" s="62"/>
      <c r="X45" s="63"/>
      <c r="Y45" s="63"/>
      <c r="Z45" s="63"/>
      <c r="AA45" s="63"/>
      <c r="AB45" s="63"/>
    </row>
    <row r="46" spans="22:28" ht="15.9" customHeight="1" x14ac:dyDescent="0.25">
      <c r="V46" s="61"/>
      <c r="W46" s="62"/>
      <c r="X46" s="63"/>
      <c r="Y46" s="63"/>
      <c r="Z46" s="63"/>
      <c r="AA46" s="63"/>
      <c r="AB46" s="63"/>
    </row>
    <row r="47" spans="22:28" ht="15.9" customHeight="1" x14ac:dyDescent="0.25">
      <c r="V47" s="61"/>
      <c r="W47" s="62"/>
      <c r="X47" s="63"/>
      <c r="Y47" s="63"/>
      <c r="Z47" s="63"/>
      <c r="AA47" s="63"/>
      <c r="AB47" s="63"/>
    </row>
    <row r="48" spans="22:28" ht="15.9" customHeight="1" x14ac:dyDescent="0.25">
      <c r="V48" s="61"/>
      <c r="W48" s="62"/>
      <c r="X48" s="63"/>
      <c r="Y48" s="63"/>
      <c r="Z48" s="63"/>
      <c r="AA48" s="63"/>
      <c r="AB48" s="63"/>
    </row>
    <row r="49" spans="22:28" ht="15.9" customHeight="1" x14ac:dyDescent="0.25">
      <c r="V49" s="61"/>
      <c r="W49" s="62"/>
      <c r="X49" s="63"/>
      <c r="Y49" s="63"/>
      <c r="Z49" s="63"/>
      <c r="AA49" s="63"/>
      <c r="AB49" s="63"/>
    </row>
    <row r="50" spans="22:28" ht="15.9" customHeight="1" x14ac:dyDescent="0.25">
      <c r="V50" s="61"/>
      <c r="W50" s="62"/>
      <c r="X50" s="63"/>
      <c r="Y50" s="63"/>
      <c r="Z50" s="63"/>
      <c r="AA50" s="63"/>
      <c r="AB50" s="63"/>
    </row>
    <row r="51" spans="22:28" ht="15.9" customHeight="1" x14ac:dyDescent="0.25">
      <c r="V51" s="61"/>
      <c r="W51" s="62"/>
      <c r="X51" s="63"/>
      <c r="Y51" s="63"/>
      <c r="Z51" s="63"/>
      <c r="AA51" s="63"/>
      <c r="AB51" s="63"/>
    </row>
    <row r="52" spans="22:28" ht="15.9" customHeight="1" x14ac:dyDescent="0.25">
      <c r="V52" s="61"/>
      <c r="W52" s="62"/>
      <c r="X52" s="63"/>
      <c r="Y52" s="63"/>
      <c r="Z52" s="63"/>
      <c r="AA52" s="63"/>
      <c r="AB52" s="63"/>
    </row>
    <row r="53" spans="22:28" ht="15.9" customHeight="1" x14ac:dyDescent="0.25">
      <c r="V53" s="61"/>
      <c r="W53" s="62"/>
      <c r="X53" s="63"/>
      <c r="Y53" s="63"/>
      <c r="Z53" s="63"/>
      <c r="AA53" s="63"/>
      <c r="AB53" s="63"/>
    </row>
    <row r="54" spans="22:28" ht="15.9" customHeight="1" x14ac:dyDescent="0.25">
      <c r="V54" s="61"/>
      <c r="W54" s="62"/>
      <c r="X54" s="63"/>
      <c r="Y54" s="63"/>
      <c r="Z54" s="63"/>
      <c r="AA54" s="63"/>
      <c r="AB54" s="63"/>
    </row>
    <row r="55" spans="22:28" ht="15.9" customHeight="1" x14ac:dyDescent="0.25">
      <c r="V55" s="61"/>
      <c r="W55" s="62"/>
      <c r="X55" s="63"/>
      <c r="Y55" s="63"/>
      <c r="Z55" s="63"/>
      <c r="AA55" s="63"/>
      <c r="AB55" s="63"/>
    </row>
    <row r="56" spans="22:28" ht="15.9" customHeight="1" x14ac:dyDescent="0.25">
      <c r="V56" s="61"/>
      <c r="W56" s="62"/>
      <c r="X56" s="63"/>
      <c r="Y56" s="63"/>
      <c r="Z56" s="63"/>
      <c r="AA56" s="63"/>
      <c r="AB56" s="63"/>
    </row>
    <row r="57" spans="22:28" ht="15.9" customHeight="1" x14ac:dyDescent="0.25">
      <c r="V57" s="61"/>
      <c r="W57" s="62"/>
      <c r="X57" s="63"/>
      <c r="Y57" s="63"/>
      <c r="Z57" s="63"/>
      <c r="AA57" s="63"/>
      <c r="AB57" s="63"/>
    </row>
    <row r="58" spans="22:28" ht="15.9" customHeight="1" x14ac:dyDescent="0.25">
      <c r="V58" s="61"/>
      <c r="W58" s="62"/>
      <c r="X58" s="63"/>
      <c r="Y58" s="63"/>
      <c r="Z58" s="63"/>
      <c r="AA58" s="63"/>
      <c r="AB58" s="63"/>
    </row>
    <row r="59" spans="22:28" ht="15.9" customHeight="1" x14ac:dyDescent="0.25">
      <c r="V59" s="61"/>
      <c r="W59" s="62"/>
      <c r="X59" s="63"/>
      <c r="Y59" s="63"/>
      <c r="Z59" s="63"/>
      <c r="AA59" s="63"/>
      <c r="AB59" s="63"/>
    </row>
    <row r="60" spans="22:28" ht="15.9" customHeight="1" x14ac:dyDescent="0.25">
      <c r="V60" s="61"/>
      <c r="W60" s="62"/>
      <c r="X60" s="63"/>
      <c r="Y60" s="63"/>
      <c r="Z60" s="63"/>
      <c r="AA60" s="63"/>
      <c r="AB60" s="63"/>
    </row>
    <row r="61" spans="22:28" ht="15.9" customHeight="1" x14ac:dyDescent="0.25">
      <c r="V61" s="61"/>
      <c r="W61" s="62"/>
      <c r="X61" s="63"/>
      <c r="Y61" s="63"/>
      <c r="Z61" s="63"/>
      <c r="AA61" s="63"/>
      <c r="AB61" s="63"/>
    </row>
    <row r="62" spans="22:28" ht="15.9" customHeight="1" x14ac:dyDescent="0.25">
      <c r="V62" s="61"/>
      <c r="W62" s="62"/>
      <c r="X62" s="63"/>
      <c r="Y62" s="63"/>
      <c r="Z62" s="63"/>
      <c r="AA62" s="63"/>
      <c r="AB62" s="63"/>
    </row>
    <row r="63" spans="22:28" ht="15.9" customHeight="1" x14ac:dyDescent="0.25">
      <c r="V63" s="61"/>
      <c r="W63" s="62"/>
      <c r="X63" s="63"/>
      <c r="Y63" s="63"/>
      <c r="Z63" s="63"/>
      <c r="AA63" s="63"/>
      <c r="AB63" s="63"/>
    </row>
    <row r="64" spans="22:28" ht="15.9" customHeight="1" x14ac:dyDescent="0.25">
      <c r="V64" s="61"/>
      <c r="W64" s="62"/>
      <c r="X64" s="63"/>
      <c r="Y64" s="63"/>
      <c r="Z64" s="63"/>
      <c r="AA64" s="63"/>
      <c r="AB64" s="63"/>
    </row>
    <row r="65" spans="22:28" ht="15.9" customHeight="1" x14ac:dyDescent="0.25">
      <c r="V65" s="61"/>
      <c r="W65" s="62"/>
      <c r="X65" s="63"/>
      <c r="Y65" s="63"/>
      <c r="Z65" s="63"/>
      <c r="AA65" s="63"/>
      <c r="AB65" s="63"/>
    </row>
    <row r="66" spans="22:28" ht="15.9" customHeight="1" x14ac:dyDescent="0.25">
      <c r="V66" s="61"/>
      <c r="W66" s="62"/>
      <c r="X66" s="63"/>
      <c r="Y66" s="63"/>
      <c r="Z66" s="63"/>
      <c r="AA66" s="63"/>
      <c r="AB66" s="63"/>
    </row>
    <row r="67" spans="22:28" ht="15.9" customHeight="1" x14ac:dyDescent="0.25">
      <c r="V67" s="61"/>
      <c r="W67" s="62"/>
      <c r="X67" s="63"/>
      <c r="Y67" s="63"/>
      <c r="Z67" s="63"/>
      <c r="AA67" s="63"/>
      <c r="AB67" s="63"/>
    </row>
    <row r="68" spans="22:28" ht="15.9" customHeight="1" x14ac:dyDescent="0.25">
      <c r="V68" s="61"/>
      <c r="W68" s="62"/>
      <c r="X68" s="63"/>
      <c r="Y68" s="63"/>
      <c r="Z68" s="63"/>
      <c r="AA68" s="63"/>
      <c r="AB68" s="63"/>
    </row>
    <row r="69" spans="22:28" ht="15.9" customHeight="1" x14ac:dyDescent="0.25">
      <c r="V69" s="50"/>
      <c r="W69" s="51"/>
      <c r="X69" s="51"/>
      <c r="Y69" s="51"/>
      <c r="Z69" s="51"/>
      <c r="AA69" s="51"/>
      <c r="AB69" s="51"/>
    </row>
    <row r="70" spans="22:28" ht="15.9" customHeight="1" x14ac:dyDescent="0.25">
      <c r="V70" s="50"/>
      <c r="W70" s="51"/>
      <c r="X70" s="51"/>
      <c r="Y70" s="51"/>
      <c r="Z70" s="51"/>
      <c r="AA70" s="51"/>
      <c r="AB70" s="51"/>
    </row>
    <row r="71" spans="22:28" ht="15.9" customHeight="1" x14ac:dyDescent="0.25">
      <c r="V71" s="50"/>
      <c r="W71" s="51"/>
      <c r="X71" s="51"/>
      <c r="Y71" s="51"/>
      <c r="Z71" s="51"/>
      <c r="AA71" s="51"/>
      <c r="AB71" s="51"/>
    </row>
    <row r="72" spans="22:28" ht="15.9" customHeight="1" x14ac:dyDescent="0.25">
      <c r="V72" s="50"/>
      <c r="W72" s="51"/>
      <c r="X72" s="51"/>
      <c r="Y72" s="51"/>
      <c r="Z72" s="51"/>
      <c r="AA72" s="51"/>
      <c r="AB72" s="51"/>
    </row>
    <row r="73" spans="22:28" ht="15.9" customHeight="1" x14ac:dyDescent="0.25">
      <c r="V73" s="50"/>
      <c r="W73" s="51"/>
      <c r="X73" s="51"/>
      <c r="Y73" s="51"/>
      <c r="Z73" s="51"/>
      <c r="AA73" s="51"/>
      <c r="AB73" s="51"/>
    </row>
    <row r="74" spans="22:28" ht="15.9" customHeight="1" x14ac:dyDescent="0.25">
      <c r="V74" s="50"/>
      <c r="W74" s="51"/>
      <c r="X74" s="51"/>
      <c r="Y74" s="51"/>
      <c r="Z74" s="51"/>
      <c r="AA74" s="51"/>
      <c r="AB74" s="51"/>
    </row>
    <row r="75" spans="22:28" ht="15.9" customHeight="1" x14ac:dyDescent="0.25">
      <c r="V75" s="50"/>
      <c r="W75" s="51"/>
      <c r="X75" s="51"/>
      <c r="Y75" s="51"/>
      <c r="Z75" s="51"/>
      <c r="AA75" s="51"/>
      <c r="AB75" s="51"/>
    </row>
    <row r="76" spans="22:28" ht="15.9" customHeight="1" x14ac:dyDescent="0.25">
      <c r="V76" s="50"/>
      <c r="W76" s="51"/>
      <c r="X76" s="51"/>
      <c r="Y76" s="51"/>
      <c r="Z76" s="51"/>
      <c r="AA76" s="51"/>
      <c r="AB76" s="51"/>
    </row>
    <row r="77" spans="22:28" ht="15.9" customHeight="1" x14ac:dyDescent="0.25">
      <c r="V77" s="50"/>
      <c r="W77" s="51"/>
      <c r="X77" s="51"/>
      <c r="Y77" s="51"/>
      <c r="Z77" s="51"/>
      <c r="AA77" s="51"/>
      <c r="AB77" s="51"/>
    </row>
    <row r="78" spans="22:28" ht="15.9" customHeight="1" x14ac:dyDescent="0.25">
      <c r="V78" s="50"/>
      <c r="W78" s="51"/>
      <c r="X78" s="51"/>
      <c r="Y78" s="51"/>
      <c r="Z78" s="51"/>
      <c r="AA78" s="51"/>
      <c r="AB78" s="51"/>
    </row>
    <row r="79" spans="22:28" ht="15.9" customHeight="1" x14ac:dyDescent="0.25">
      <c r="V79" s="50"/>
      <c r="W79" s="51"/>
      <c r="X79" s="51"/>
      <c r="Y79" s="51"/>
      <c r="Z79" s="51"/>
      <c r="AA79" s="51"/>
      <c r="AB79" s="51"/>
    </row>
    <row r="80" spans="22:28" ht="15.9" customHeight="1" x14ac:dyDescent="0.25">
      <c r="V80" s="50"/>
      <c r="W80" s="51"/>
      <c r="X80" s="51"/>
      <c r="Y80" s="51"/>
      <c r="Z80" s="51"/>
      <c r="AA80" s="51"/>
      <c r="AB80" s="51"/>
    </row>
    <row r="81" spans="22:28" ht="15.9" customHeight="1" x14ac:dyDescent="0.25">
      <c r="V81" s="50"/>
      <c r="W81" s="51"/>
      <c r="X81" s="51"/>
      <c r="Y81" s="51"/>
      <c r="Z81" s="51"/>
      <c r="AA81" s="51"/>
      <c r="AB81" s="51"/>
    </row>
    <row r="82" spans="22:28" ht="15.9" customHeight="1" x14ac:dyDescent="0.25">
      <c r="V82" s="50"/>
      <c r="W82" s="51"/>
      <c r="X82" s="51"/>
      <c r="Y82" s="51"/>
      <c r="Z82" s="51"/>
      <c r="AA82" s="51"/>
      <c r="AB82" s="51"/>
    </row>
    <row r="83" spans="22:28" ht="15.9" customHeight="1" x14ac:dyDescent="0.25">
      <c r="V83" s="50"/>
      <c r="W83" s="51"/>
      <c r="X83" s="51"/>
      <c r="Y83" s="51"/>
      <c r="Z83" s="51"/>
      <c r="AA83" s="51"/>
      <c r="AB83" s="51"/>
    </row>
    <row r="84" spans="22:28" ht="15.9" customHeight="1" x14ac:dyDescent="0.25">
      <c r="V84" s="50"/>
      <c r="W84" s="51"/>
      <c r="X84" s="51"/>
      <c r="Y84" s="51"/>
      <c r="Z84" s="51"/>
      <c r="AA84" s="51"/>
      <c r="AB84" s="51"/>
    </row>
    <row r="85" spans="22:28" ht="15.9" customHeight="1" x14ac:dyDescent="0.25">
      <c r="V85" s="50"/>
      <c r="W85" s="51"/>
      <c r="X85" s="51"/>
      <c r="Y85" s="51"/>
      <c r="Z85" s="51"/>
      <c r="AA85" s="51"/>
      <c r="AB85" s="51"/>
    </row>
    <row r="86" spans="22:28" ht="15.9" customHeight="1" x14ac:dyDescent="0.25">
      <c r="V86" s="50"/>
      <c r="W86" s="51"/>
      <c r="X86" s="51"/>
      <c r="Y86" s="51"/>
      <c r="Z86" s="51"/>
      <c r="AA86" s="51"/>
      <c r="AB86" s="51"/>
    </row>
    <row r="87" spans="22:28" ht="15.9" customHeight="1" x14ac:dyDescent="0.25">
      <c r="V87" s="50"/>
      <c r="W87" s="51"/>
      <c r="X87" s="51"/>
      <c r="Y87" s="51"/>
      <c r="Z87" s="51"/>
      <c r="AA87" s="51"/>
      <c r="AB87" s="51"/>
    </row>
    <row r="88" spans="22:28" ht="15.9" customHeight="1" x14ac:dyDescent="0.25">
      <c r="V88" s="50"/>
      <c r="W88" s="51"/>
      <c r="X88" s="51"/>
      <c r="Y88" s="51"/>
      <c r="Z88" s="51"/>
      <c r="AA88" s="51"/>
      <c r="AB88" s="51"/>
    </row>
    <row r="89" spans="22:28" ht="15.9" customHeight="1" x14ac:dyDescent="0.25">
      <c r="V89" s="50"/>
      <c r="W89" s="51"/>
      <c r="X89" s="51"/>
      <c r="Y89" s="51"/>
      <c r="Z89" s="51"/>
      <c r="AA89" s="51"/>
      <c r="AB89" s="51"/>
    </row>
    <row r="90" spans="22:28" ht="15.9" customHeight="1" x14ac:dyDescent="0.25">
      <c r="V90" s="50"/>
      <c r="W90" s="51"/>
      <c r="X90" s="51"/>
      <c r="Y90" s="51"/>
      <c r="Z90" s="51"/>
      <c r="AA90" s="51"/>
      <c r="AB90" s="51"/>
    </row>
    <row r="91" spans="22:28" ht="15.9" customHeight="1" x14ac:dyDescent="0.25">
      <c r="V91" s="50"/>
      <c r="W91" s="51"/>
      <c r="X91" s="51"/>
      <c r="Y91" s="51"/>
      <c r="Z91" s="51"/>
      <c r="AA91" s="51"/>
      <c r="AB91" s="51"/>
    </row>
    <row r="92" spans="22:28" ht="15.9" customHeight="1" x14ac:dyDescent="0.25">
      <c r="V92" s="50"/>
      <c r="W92" s="51"/>
      <c r="X92" s="51"/>
      <c r="Y92" s="51"/>
      <c r="Z92" s="51"/>
      <c r="AA92" s="51"/>
      <c r="AB92" s="51"/>
    </row>
    <row r="93" spans="22:28" ht="15.9" customHeight="1" x14ac:dyDescent="0.25">
      <c r="V93" s="50"/>
      <c r="W93" s="51"/>
      <c r="X93" s="51"/>
      <c r="Y93" s="51"/>
      <c r="Z93" s="51"/>
      <c r="AA93" s="51"/>
      <c r="AB93" s="51"/>
    </row>
    <row r="94" spans="22:28" ht="15.9" customHeight="1" x14ac:dyDescent="0.25">
      <c r="V94" s="50"/>
      <c r="W94" s="51"/>
      <c r="X94" s="51"/>
      <c r="Y94" s="51"/>
      <c r="Z94" s="51"/>
      <c r="AA94" s="51"/>
      <c r="AB94" s="51"/>
    </row>
    <row r="95" spans="22:28" ht="15.9" customHeight="1" x14ac:dyDescent="0.25">
      <c r="V95" s="50"/>
      <c r="W95" s="51"/>
      <c r="X95" s="51"/>
      <c r="Y95" s="51"/>
      <c r="Z95" s="51"/>
      <c r="AA95" s="51"/>
      <c r="AB95" s="51"/>
    </row>
    <row r="96" spans="22:28" ht="15.9" customHeight="1" x14ac:dyDescent="0.25">
      <c r="V96" s="50"/>
      <c r="W96" s="51"/>
      <c r="X96" s="51"/>
      <c r="Y96" s="51"/>
      <c r="Z96" s="51"/>
      <c r="AA96" s="51"/>
      <c r="AB96" s="51"/>
    </row>
    <row r="97" spans="22:28" ht="15.9" customHeight="1" x14ac:dyDescent="0.25">
      <c r="V97" s="50"/>
      <c r="W97" s="51"/>
      <c r="X97" s="51"/>
      <c r="Y97" s="51"/>
      <c r="Z97" s="51"/>
      <c r="AA97" s="51"/>
      <c r="AB97" s="51"/>
    </row>
    <row r="98" spans="22:28" ht="15.9" customHeight="1" x14ac:dyDescent="0.25">
      <c r="V98" s="50"/>
      <c r="W98" s="51"/>
      <c r="X98" s="51"/>
      <c r="Y98" s="51"/>
      <c r="Z98" s="51"/>
      <c r="AA98" s="51"/>
      <c r="AB98" s="51"/>
    </row>
    <row r="99" spans="22:28" ht="15.9" customHeight="1" x14ac:dyDescent="0.25">
      <c r="V99" s="50"/>
      <c r="W99" s="51"/>
      <c r="X99" s="51"/>
      <c r="Y99" s="51"/>
      <c r="Z99" s="51"/>
      <c r="AA99" s="51"/>
      <c r="AB99" s="51"/>
    </row>
    <row r="100" spans="22:28" ht="15.9" customHeight="1" x14ac:dyDescent="0.25">
      <c r="V100" s="50"/>
      <c r="W100" s="51"/>
      <c r="X100" s="51"/>
      <c r="Y100" s="51"/>
      <c r="Z100" s="51"/>
      <c r="AA100" s="51"/>
      <c r="AB100" s="51"/>
    </row>
    <row r="101" spans="22:28" ht="15.9" customHeight="1" x14ac:dyDescent="0.25">
      <c r="V101" s="50"/>
      <c r="W101" s="51"/>
      <c r="X101" s="51"/>
      <c r="Y101" s="51"/>
      <c r="Z101" s="51"/>
      <c r="AA101" s="51"/>
      <c r="AB101" s="51"/>
    </row>
    <row r="102" spans="22:28" ht="15.9" customHeight="1" x14ac:dyDescent="0.25">
      <c r="V102" s="50"/>
      <c r="W102" s="51"/>
      <c r="X102" s="51"/>
      <c r="Y102" s="51"/>
      <c r="Z102" s="51"/>
      <c r="AA102" s="51"/>
      <c r="AB102" s="51"/>
    </row>
    <row r="103" spans="22:28" ht="15.9" customHeight="1" x14ac:dyDescent="0.25">
      <c r="V103" s="50"/>
      <c r="W103" s="51"/>
      <c r="X103" s="51"/>
      <c r="Y103" s="51"/>
      <c r="Z103" s="51"/>
      <c r="AA103" s="51"/>
      <c r="AB103" s="51"/>
    </row>
    <row r="104" spans="22:28" ht="15.9" customHeight="1" x14ac:dyDescent="0.25">
      <c r="V104" s="50"/>
      <c r="W104" s="51"/>
      <c r="X104" s="51"/>
      <c r="Y104" s="51"/>
      <c r="Z104" s="51"/>
      <c r="AA104" s="51"/>
      <c r="AB104" s="51"/>
    </row>
    <row r="105" spans="22:28" ht="15.9" customHeight="1" x14ac:dyDescent="0.25">
      <c r="V105" s="50"/>
      <c r="W105" s="51"/>
      <c r="X105" s="51"/>
      <c r="Y105" s="51"/>
      <c r="Z105" s="51"/>
      <c r="AA105" s="51"/>
      <c r="AB105" s="51"/>
    </row>
    <row r="106" spans="22:28" ht="15.9" customHeight="1" x14ac:dyDescent="0.25">
      <c r="V106" s="50"/>
      <c r="W106" s="51"/>
      <c r="X106" s="51"/>
      <c r="Y106" s="51"/>
      <c r="Z106" s="51"/>
      <c r="AA106" s="51"/>
      <c r="AB106" s="51"/>
    </row>
    <row r="107" spans="22:28" ht="15.9" customHeight="1" x14ac:dyDescent="0.25">
      <c r="V107" s="50"/>
      <c r="W107" s="51"/>
      <c r="X107" s="51"/>
      <c r="Y107" s="51"/>
      <c r="Z107" s="51"/>
      <c r="AA107" s="51"/>
      <c r="AB107" s="51"/>
    </row>
    <row r="108" spans="22:28" ht="15.9" customHeight="1" x14ac:dyDescent="0.25">
      <c r="V108" s="50"/>
      <c r="W108" s="51"/>
      <c r="X108" s="51"/>
      <c r="Y108" s="51"/>
      <c r="Z108" s="51"/>
      <c r="AA108" s="51"/>
      <c r="AB108" s="51"/>
    </row>
    <row r="109" spans="22:28" ht="15.9" customHeight="1" x14ac:dyDescent="0.25">
      <c r="V109" s="50"/>
      <c r="W109" s="51"/>
      <c r="X109" s="51"/>
      <c r="Y109" s="51"/>
      <c r="Z109" s="51"/>
      <c r="AA109" s="51"/>
      <c r="AB109" s="51"/>
    </row>
    <row r="110" spans="22:28" ht="15.9" customHeight="1" x14ac:dyDescent="0.25">
      <c r="V110" s="50"/>
      <c r="W110" s="51"/>
      <c r="X110" s="51"/>
      <c r="Y110" s="51"/>
      <c r="Z110" s="51"/>
      <c r="AA110" s="51"/>
      <c r="AB110" s="51"/>
    </row>
    <row r="111" spans="22:28" ht="15.9" customHeight="1" x14ac:dyDescent="0.25">
      <c r="V111" s="50"/>
      <c r="W111" s="51"/>
      <c r="X111" s="51"/>
      <c r="Y111" s="51"/>
      <c r="Z111" s="51"/>
      <c r="AA111" s="51"/>
      <c r="AB111" s="51"/>
    </row>
    <row r="112" spans="22:28" ht="15.9" customHeight="1" x14ac:dyDescent="0.25">
      <c r="V112" s="50"/>
      <c r="W112" s="51"/>
      <c r="X112" s="51"/>
      <c r="Y112" s="51"/>
      <c r="Z112" s="51"/>
      <c r="AA112" s="51"/>
      <c r="AB112" s="51"/>
    </row>
    <row r="113" spans="22:28" ht="15.9" customHeight="1" x14ac:dyDescent="0.25">
      <c r="V113" s="50"/>
      <c r="W113" s="51"/>
      <c r="X113" s="51"/>
      <c r="Y113" s="51"/>
      <c r="Z113" s="51"/>
      <c r="AA113" s="51"/>
      <c r="AB113" s="51"/>
    </row>
    <row r="114" spans="22:28" ht="15.9" customHeight="1" x14ac:dyDescent="0.25">
      <c r="V114" s="50"/>
      <c r="W114" s="51"/>
      <c r="X114" s="51"/>
      <c r="Y114" s="51"/>
      <c r="Z114" s="51"/>
      <c r="AA114" s="51"/>
      <c r="AB114" s="51"/>
    </row>
    <row r="115" spans="22:28" ht="15.9" customHeight="1" x14ac:dyDescent="0.25">
      <c r="V115" s="50"/>
      <c r="W115" s="51"/>
      <c r="X115" s="51"/>
      <c r="Y115" s="51"/>
      <c r="Z115" s="51"/>
      <c r="AA115" s="51"/>
      <c r="AB115" s="51"/>
    </row>
    <row r="116" spans="22:28" ht="15.9" customHeight="1" x14ac:dyDescent="0.25">
      <c r="V116" s="50"/>
      <c r="W116" s="51"/>
      <c r="X116" s="51"/>
      <c r="Y116" s="51"/>
      <c r="Z116" s="51"/>
      <c r="AA116" s="51"/>
      <c r="AB116" s="51"/>
    </row>
    <row r="117" spans="22:28" ht="15.9" customHeight="1" x14ac:dyDescent="0.25">
      <c r="V117" s="50"/>
      <c r="W117" s="51"/>
      <c r="X117" s="51"/>
      <c r="Y117" s="51"/>
      <c r="Z117" s="51"/>
      <c r="AA117" s="51"/>
      <c r="AB117" s="51"/>
    </row>
    <row r="118" spans="22:28" ht="15.9" customHeight="1" x14ac:dyDescent="0.25">
      <c r="V118" s="50"/>
      <c r="W118" s="51"/>
      <c r="X118" s="51"/>
      <c r="Y118" s="51"/>
      <c r="Z118" s="51"/>
      <c r="AA118" s="51"/>
      <c r="AB118" s="51"/>
    </row>
    <row r="119" spans="22:28" ht="15.9" customHeight="1" x14ac:dyDescent="0.25">
      <c r="V119" s="50"/>
      <c r="W119" s="51"/>
      <c r="X119" s="51"/>
      <c r="Y119" s="51"/>
      <c r="Z119" s="51"/>
      <c r="AA119" s="51"/>
      <c r="AB119" s="51"/>
    </row>
    <row r="120" spans="22:28" ht="15.9" customHeight="1" x14ac:dyDescent="0.25">
      <c r="V120" s="50"/>
      <c r="W120" s="51"/>
      <c r="X120" s="51"/>
      <c r="Y120" s="51"/>
      <c r="Z120" s="51"/>
      <c r="AA120" s="51"/>
      <c r="AB120" s="51"/>
    </row>
    <row r="121" spans="22:28" ht="15.9" customHeight="1" x14ac:dyDescent="0.25">
      <c r="V121" s="50"/>
      <c r="W121" s="51"/>
      <c r="X121" s="51"/>
      <c r="Y121" s="51"/>
      <c r="Z121" s="51"/>
      <c r="AA121" s="51"/>
      <c r="AB121" s="51"/>
    </row>
    <row r="122" spans="22:28" ht="15.9" customHeight="1" x14ac:dyDescent="0.25">
      <c r="V122" s="50"/>
      <c r="W122" s="51"/>
      <c r="X122" s="51"/>
      <c r="Y122" s="51"/>
      <c r="Z122" s="51"/>
      <c r="AA122" s="51"/>
      <c r="AB122" s="51"/>
    </row>
    <row r="123" spans="22:28" ht="15.9" customHeight="1" x14ac:dyDescent="0.25">
      <c r="V123" s="50"/>
      <c r="W123" s="51"/>
      <c r="X123" s="51"/>
      <c r="Y123" s="51"/>
      <c r="Z123" s="51"/>
      <c r="AA123" s="51"/>
      <c r="AB123" s="51"/>
    </row>
    <row r="124" spans="22:28" ht="15.9" customHeight="1" x14ac:dyDescent="0.25">
      <c r="V124" s="50"/>
      <c r="W124" s="51"/>
      <c r="X124" s="51"/>
      <c r="Y124" s="51"/>
      <c r="Z124" s="51"/>
      <c r="AA124" s="51"/>
      <c r="AB124" s="51"/>
    </row>
    <row r="125" spans="22:28" ht="15.9" customHeight="1" x14ac:dyDescent="0.25">
      <c r="V125" s="50"/>
      <c r="W125" s="51"/>
      <c r="X125" s="51"/>
      <c r="Y125" s="51"/>
      <c r="Z125" s="51"/>
      <c r="AA125" s="51"/>
      <c r="AB125" s="51"/>
    </row>
    <row r="126" spans="22:28" ht="15.9" customHeight="1" x14ac:dyDescent="0.25">
      <c r="V126" s="50"/>
      <c r="W126" s="51"/>
      <c r="X126" s="51"/>
      <c r="Y126" s="51"/>
      <c r="Z126" s="51"/>
      <c r="AA126" s="51"/>
      <c r="AB126" s="51"/>
    </row>
    <row r="127" spans="22:28" ht="15.9" customHeight="1" x14ac:dyDescent="0.25">
      <c r="V127" s="50"/>
      <c r="W127" s="51"/>
      <c r="X127" s="51"/>
      <c r="Y127" s="51"/>
      <c r="Z127" s="51"/>
      <c r="AA127" s="51"/>
      <c r="AB127" s="51"/>
    </row>
    <row r="128" spans="22:28" ht="15.9" customHeight="1" x14ac:dyDescent="0.25">
      <c r="V128" s="50"/>
      <c r="W128" s="51"/>
      <c r="X128" s="51"/>
      <c r="Y128" s="51"/>
      <c r="Z128" s="51"/>
      <c r="AA128" s="51"/>
      <c r="AB128" s="51"/>
    </row>
    <row r="129" ht="15.9" customHeight="1" x14ac:dyDescent="0.25"/>
    <row r="130" ht="15.9" customHeight="1" x14ac:dyDescent="0.25"/>
    <row r="131" ht="15.9" customHeight="1" x14ac:dyDescent="0.25"/>
    <row r="132" ht="15.9" customHeight="1" x14ac:dyDescent="0.25"/>
    <row r="133" ht="15.9" customHeight="1" x14ac:dyDescent="0.25"/>
    <row r="134" ht="15.9" customHeight="1" x14ac:dyDescent="0.25"/>
    <row r="135" ht="15.9" customHeight="1" x14ac:dyDescent="0.25"/>
    <row r="136" ht="15.9" customHeight="1" x14ac:dyDescent="0.25"/>
    <row r="137" ht="15.9" customHeight="1" x14ac:dyDescent="0.25"/>
    <row r="138" ht="15.9" customHeight="1" x14ac:dyDescent="0.25"/>
    <row r="139" ht="15.9" customHeight="1" x14ac:dyDescent="0.25"/>
    <row r="140" ht="15.9" customHeight="1" x14ac:dyDescent="0.25"/>
    <row r="141" ht="15.9" customHeight="1" x14ac:dyDescent="0.25"/>
    <row r="142" ht="15.9" customHeight="1" x14ac:dyDescent="0.25"/>
    <row r="143" ht="15.9" customHeight="1" x14ac:dyDescent="0.25"/>
    <row r="144" ht="15.9" customHeight="1" x14ac:dyDescent="0.25"/>
    <row r="145" ht="15.9" customHeight="1" x14ac:dyDescent="0.25"/>
    <row r="146" ht="15.9" customHeight="1" x14ac:dyDescent="0.25"/>
    <row r="147" ht="15.9" customHeight="1" x14ac:dyDescent="0.25"/>
    <row r="148" ht="15.9" customHeight="1" x14ac:dyDescent="0.25"/>
    <row r="149" ht="15.9" customHeight="1" x14ac:dyDescent="0.25"/>
    <row r="150" ht="15.9" customHeight="1" x14ac:dyDescent="0.25"/>
    <row r="151" ht="15.9" customHeight="1" x14ac:dyDescent="0.25"/>
    <row r="152" ht="15.9" customHeight="1" x14ac:dyDescent="0.25"/>
    <row r="153" ht="15.9" customHeight="1" x14ac:dyDescent="0.25"/>
    <row r="154" ht="15.9" customHeight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8"/>
  <sheetViews>
    <sheetView showGridLines="0" zoomScaleNormal="100" workbookViewId="0">
      <selection activeCell="P13" sqref="P13"/>
    </sheetView>
  </sheetViews>
  <sheetFormatPr defaultRowHeight="13.2" x14ac:dyDescent="0.25"/>
  <cols>
    <col min="2" max="2" width="18.33203125" customWidth="1"/>
    <col min="5" max="5" width="11.33203125" customWidth="1"/>
  </cols>
  <sheetData>
    <row r="1" spans="1:1" x14ac:dyDescent="0.25">
      <c r="A1" s="27"/>
    </row>
    <row r="43" spans="2:3" x14ac:dyDescent="0.25">
      <c r="B43" s="96" t="s">
        <v>117</v>
      </c>
      <c r="C43" s="99" t="str">
        <f>'User Input'!B7</f>
        <v>PE99155</v>
      </c>
    </row>
    <row r="44" spans="2:3" x14ac:dyDescent="0.25">
      <c r="B44" s="96" t="s">
        <v>197</v>
      </c>
      <c r="C44" s="100">
        <f>'User Input'!C19</f>
        <v>0.5</v>
      </c>
    </row>
    <row r="45" spans="2:3" ht="13.8" x14ac:dyDescent="0.3">
      <c r="B45" s="103" t="s">
        <v>184</v>
      </c>
      <c r="C45" s="100">
        <f>'User Input'!C21</f>
        <v>2.8</v>
      </c>
    </row>
    <row r="46" spans="2:3" x14ac:dyDescent="0.25">
      <c r="B46" s="97" t="s">
        <v>195</v>
      </c>
      <c r="C46" s="101">
        <f>'User Input'!C32</f>
        <v>1.0369999999999999E-3</v>
      </c>
    </row>
    <row r="47" spans="2:3" x14ac:dyDescent="0.25">
      <c r="B47" s="97" t="s">
        <v>196</v>
      </c>
      <c r="C47" s="101">
        <f>'User Input'!C33</f>
        <v>6.2549206349206345E-4</v>
      </c>
    </row>
    <row r="48" spans="2:3" x14ac:dyDescent="0.25">
      <c r="B48" s="96" t="s">
        <v>124</v>
      </c>
      <c r="C48" s="100">
        <f>'User Input'!C41</f>
        <v>15</v>
      </c>
    </row>
    <row r="49" spans="2:6" x14ac:dyDescent="0.25">
      <c r="B49" s="96" t="s">
        <v>125</v>
      </c>
      <c r="C49" s="100">
        <f>'User Input'!C42</f>
        <v>10</v>
      </c>
    </row>
    <row r="50" spans="2:6" x14ac:dyDescent="0.25">
      <c r="B50" s="96" t="s">
        <v>141</v>
      </c>
      <c r="C50" s="101">
        <f>'User Input'!C45</f>
        <v>1E-8</v>
      </c>
    </row>
    <row r="51" spans="2:6" x14ac:dyDescent="0.25">
      <c r="B51" s="96" t="s">
        <v>142</v>
      </c>
      <c r="C51" s="102">
        <f>'User Input'!C49</f>
        <v>150</v>
      </c>
    </row>
    <row r="52" spans="2:6" x14ac:dyDescent="0.25">
      <c r="B52" s="96" t="s">
        <v>143</v>
      </c>
      <c r="C52" s="102">
        <f>'User Input'!C51</f>
        <v>56</v>
      </c>
    </row>
    <row r="53" spans="2:6" x14ac:dyDescent="0.25">
      <c r="B53" s="97" t="s">
        <v>137</v>
      </c>
      <c r="C53" s="101">
        <f>'User Input'!C38</f>
        <v>1.186E-3</v>
      </c>
    </row>
    <row r="54" spans="2:6" x14ac:dyDescent="0.25">
      <c r="B54" s="79" t="s">
        <v>161</v>
      </c>
      <c r="C54" s="100"/>
      <c r="E54" s="80" t="s">
        <v>163</v>
      </c>
    </row>
    <row r="55" spans="2:6" x14ac:dyDescent="0.25">
      <c r="B55" s="96" t="s">
        <v>151</v>
      </c>
      <c r="C55" s="102">
        <f>'User Input'!C60</f>
        <v>47</v>
      </c>
      <c r="E55" s="96" t="s">
        <v>151</v>
      </c>
      <c r="F55" s="102">
        <f>'User Input'!C70</f>
        <v>68</v>
      </c>
    </row>
    <row r="56" spans="2:6" x14ac:dyDescent="0.25">
      <c r="B56" s="96" t="s">
        <v>152</v>
      </c>
      <c r="C56" s="101">
        <f>'User Input'!C61</f>
        <v>4.6999999999999999E-9</v>
      </c>
      <c r="E56" s="96" t="s">
        <v>152</v>
      </c>
      <c r="F56" s="101">
        <f>'User Input'!C71</f>
        <v>3.3000000000000002E-9</v>
      </c>
    </row>
    <row r="57" spans="2:6" x14ac:dyDescent="0.25">
      <c r="B57" s="96" t="s">
        <v>162</v>
      </c>
      <c r="C57" s="101">
        <f>'User Input'!C63</f>
        <v>5.6E-11</v>
      </c>
      <c r="E57" s="96" t="s">
        <v>162</v>
      </c>
      <c r="F57" s="101">
        <f>'User Input'!C73</f>
        <v>3.9000000000000001E-11</v>
      </c>
    </row>
    <row r="58" spans="2:6" x14ac:dyDescent="0.25">
      <c r="B58" s="96" t="s">
        <v>158</v>
      </c>
      <c r="C58" s="98" t="s">
        <v>183</v>
      </c>
      <c r="E58" s="96" t="s">
        <v>158</v>
      </c>
      <c r="F58" s="101">
        <f>'User Input'!C74</f>
        <v>1.5E-10</v>
      </c>
    </row>
  </sheetData>
  <sheetProtection password="E0F9" sheet="1" objects="1" scenarios="1"/>
  <phoneticPr fontId="2" type="noConversion"/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1" shapeId="25605" r:id="rId4">
          <objectPr defaultSize="0" r:id="rId5">
            <anchor>
              <from>
                <xdr:col>0</xdr:col>
                <xdr:colOff>152400</xdr:colOff>
                <xdr:row>1</xdr:row>
                <xdr:rowOff>0</xdr:rowOff>
              </from>
              <to>
                <xdr:col>12</xdr:col>
                <xdr:colOff>457200</xdr:colOff>
                <xdr:row>40</xdr:row>
                <xdr:rowOff>152400</xdr:rowOff>
              </to>
            </anchor>
          </objectPr>
        </oleObject>
      </mc:Choice>
      <mc:Fallback>
        <oleObject progId="Visio.Drawing.11" shapeId="2560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97E862015E1D4EA0DF68EC3CA88EA5" ma:contentTypeVersion="2" ma:contentTypeDescription="Create a new document." ma:contentTypeScope="" ma:versionID="b6348693205bd432de35c320f541c601">
  <xsd:schema xmlns:xsd="http://www.w3.org/2001/XMLSchema" xmlns:xs="http://www.w3.org/2001/XMLSchema" xmlns:p="http://schemas.microsoft.com/office/2006/metadata/properties" xmlns:ns1="http://schemas.microsoft.com/sharepoint/v3" xmlns:ns2="760b1fc2-98a4-443b-a0ab-0dd5695ca36e" targetNamespace="http://schemas.microsoft.com/office/2006/metadata/properties" ma:root="true" ma:fieldsID="8c0f6d6f7cc374cb34a3b44de03902c2" ns1:_="" ns2:_="">
    <xsd:import namespace="http://schemas.microsoft.com/sharepoint/v3"/>
    <xsd:import namespace="760b1fc2-98a4-443b-a0ab-0dd5695ca36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b1fc2-98a4-443b-a0ab-0dd5695ca36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1EB8B3-28AA-4FFF-951B-6092E6AA6151}"/>
</file>

<file path=customXml/itemProps2.xml><?xml version="1.0" encoding="utf-8"?>
<ds:datastoreItem xmlns:ds="http://schemas.openxmlformats.org/officeDocument/2006/customXml" ds:itemID="{1A67FE2D-5800-4655-A288-1B0726A2560A}"/>
</file>

<file path=customXml/itemProps3.xml><?xml version="1.0" encoding="utf-8"?>
<ds:datastoreItem xmlns:ds="http://schemas.openxmlformats.org/officeDocument/2006/customXml" ds:itemID="{B26FF2D3-B75C-493E-BFA9-9DFF7AE7EC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User Input</vt:lpstr>
      <vt:lpstr>Efficiency</vt:lpstr>
      <vt:lpstr>PE99155_eff_calc</vt:lpstr>
      <vt:lpstr>Sheet1</vt:lpstr>
      <vt:lpstr>data</vt:lpstr>
      <vt:lpstr>Summary</vt:lpstr>
    </vt:vector>
  </TitlesOfParts>
  <Company>Peregrine Semiconductor Corp.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Peregrine Semiconductor</dc:creator>
  <cp:lastModifiedBy>Wallace Scott</cp:lastModifiedBy>
  <cp:lastPrinted>2010-01-19T17:06:45Z</cp:lastPrinted>
  <dcterms:created xsi:type="dcterms:W3CDTF">2009-11-02T17:55:26Z</dcterms:created>
  <dcterms:modified xsi:type="dcterms:W3CDTF">2018-09-18T13:15:12Z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0x0101001F97E862015E1D4EA0DF68EC3CA88EA5</vt:lpwstr>
  </property>
</Properties>
</file>