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mbeddings/oleObject3.bin" ContentType="application/vnd.openxmlformats-officedocument.oleObject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embeddings/oleObject2.bin" ContentType="application/vnd.openxmlformats-officedocument.oleObject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worksheets/sheet1.xml" ContentType="application/vnd.openxmlformats-officedocument.spreadsheetml.workshee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2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sharedStrings.xml" ContentType="application/vnd.openxmlformats-officedocument.spreadsheetml.sharedStrings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1865" yWindow="120" windowWidth="12135" windowHeight="11760" activeTab="4"/>
  </bookViews>
  <sheets>
    <sheet name="PLL Block Diagram" sheetId="7" r:id="rId1"/>
    <sheet name="4thOrderLoop" sheetId="1" r:id="rId2"/>
    <sheet name="5thOrderLoop" sheetId="5" r:id="rId3"/>
    <sheet name="4thOrderClosedLoopPhaseNoise" sheetId="10" r:id="rId4"/>
    <sheet name="5thOrderClosedLoopPhaseNoise" sheetId="8" r:id="rId5"/>
    <sheet name="Diagrams" sheetId="4" r:id="rId6"/>
    <sheet name="RC_values" sheetId="6" r:id="rId7"/>
    <sheet name="rev" sheetId="2" r:id="rId8"/>
  </sheets>
  <definedNames>
    <definedName name="_xlnm.Print_Area" localSheetId="2">'5thOrderLoop'!$A$5:$L$56</definedName>
    <definedName name="StdCapVal">RC_values!$A$2:$A$158</definedName>
    <definedName name="StdRVal">RC_values!$B$2:$B$158</definedName>
  </definedNames>
  <calcPr calcId="145621"/>
</workbook>
</file>

<file path=xl/calcChain.xml><?xml version="1.0" encoding="utf-8"?>
<calcChain xmlns="http://schemas.openxmlformats.org/spreadsheetml/2006/main">
  <c r="C82" i="5" l="1"/>
  <c r="C69" i="5"/>
  <c r="C68" i="5"/>
  <c r="C66" i="5"/>
  <c r="D28" i="5"/>
  <c r="E28" i="5"/>
  <c r="F28" i="5"/>
  <c r="G28" i="5"/>
  <c r="H28" i="5"/>
  <c r="I28" i="5"/>
  <c r="J28" i="5"/>
  <c r="C28" i="5"/>
  <c r="D27" i="5"/>
  <c r="E27" i="5"/>
  <c r="F27" i="5"/>
  <c r="G27" i="5"/>
  <c r="H27" i="5"/>
  <c r="I27" i="5"/>
  <c r="J27" i="5"/>
  <c r="C27" i="5"/>
  <c r="C64" i="1"/>
  <c r="C63" i="1"/>
  <c r="C61" i="1"/>
  <c r="C25" i="1"/>
  <c r="D25" i="1"/>
  <c r="E25" i="1"/>
  <c r="D24" i="1"/>
  <c r="E24" i="1"/>
  <c r="C24" i="1"/>
  <c r="C70" i="1"/>
  <c r="C75" i="5"/>
  <c r="C73" i="5" l="1"/>
  <c r="C77" i="5"/>
  <c r="C16" i="8" s="1"/>
  <c r="C74" i="5"/>
  <c r="C15" i="8" s="1"/>
  <c r="C72" i="1"/>
  <c r="C16" i="10" s="1"/>
  <c r="E26" i="1" l="1"/>
  <c r="C27" i="8" l="1"/>
  <c r="C26" i="8" l="1"/>
  <c r="D13" i="1" l="1"/>
  <c r="E13" i="1"/>
  <c r="C13" i="1"/>
  <c r="D14" i="5"/>
  <c r="E14" i="5"/>
  <c r="F14" i="5"/>
  <c r="G14" i="5"/>
  <c r="H14" i="5"/>
  <c r="I14" i="5"/>
  <c r="J14" i="5"/>
  <c r="C14" i="5"/>
  <c r="C28" i="8" l="1"/>
  <c r="C26" i="1"/>
  <c r="C32" i="1" s="1"/>
  <c r="D26" i="1"/>
  <c r="D32" i="1" s="1"/>
  <c r="E32" i="1"/>
  <c r="C73" i="1" s="1"/>
  <c r="C27" i="1"/>
  <c r="C28" i="1" s="1"/>
  <c r="D27" i="1"/>
  <c r="D28" i="1" s="1"/>
  <c r="E27" i="1"/>
  <c r="E28" i="1" s="1"/>
  <c r="C74" i="1" s="1"/>
  <c r="C34" i="1"/>
  <c r="D34" i="1"/>
  <c r="E34" i="1"/>
  <c r="E35" i="1" l="1"/>
  <c r="E36" i="1" s="1"/>
  <c r="C77" i="1" s="1"/>
  <c r="C35" i="1"/>
  <c r="C36" i="1" s="1"/>
  <c r="C21" i="1" s="1"/>
  <c r="D29" i="1"/>
  <c r="D30" i="1" s="1"/>
  <c r="E29" i="1"/>
  <c r="C75" i="1" s="1"/>
  <c r="C29" i="1"/>
  <c r="C30" i="1" s="1"/>
  <c r="D35" i="1"/>
  <c r="D36" i="1" s="1"/>
  <c r="E21" i="1" l="1"/>
  <c r="E41" i="1" s="1" a="1"/>
  <c r="E41" i="1" s="1"/>
  <c r="C81" i="1" s="1"/>
  <c r="C23" i="1"/>
  <c r="C43" i="1" s="1" a="1"/>
  <c r="C43" i="1" s="1"/>
  <c r="C41" i="1" a="1"/>
  <c r="C41" i="1" s="1"/>
  <c r="E30" i="1"/>
  <c r="C76" i="1" s="1"/>
  <c r="D21" i="1"/>
  <c r="E20" i="1"/>
  <c r="C20" i="1"/>
  <c r="A14" i="10"/>
  <c r="A17" i="10"/>
  <c r="A18" i="10"/>
  <c r="A19" i="10"/>
  <c r="A20" i="10"/>
  <c r="A24" i="10"/>
  <c r="A21" i="10"/>
  <c r="A22" i="10"/>
  <c r="A23" i="10"/>
  <c r="A13" i="10"/>
  <c r="C18" i="10"/>
  <c r="C17" i="10"/>
  <c r="C9" i="10"/>
  <c r="C57" i="1"/>
  <c r="C12" i="10" s="1"/>
  <c r="C56" i="1"/>
  <c r="C10" i="10" s="1"/>
  <c r="F128" i="10"/>
  <c r="F127" i="10"/>
  <c r="F126" i="10"/>
  <c r="F125" i="10"/>
  <c r="F124" i="10"/>
  <c r="F123" i="10"/>
  <c r="F122" i="10"/>
  <c r="F121" i="10"/>
  <c r="F120" i="10"/>
  <c r="F119" i="10"/>
  <c r="F118" i="10"/>
  <c r="F117" i="10"/>
  <c r="F116" i="10"/>
  <c r="F115" i="10"/>
  <c r="F114" i="10"/>
  <c r="F113" i="10"/>
  <c r="F112" i="10"/>
  <c r="F111" i="10"/>
  <c r="F110" i="10"/>
  <c r="F109" i="10"/>
  <c r="F108" i="10"/>
  <c r="F107" i="10"/>
  <c r="F106" i="10"/>
  <c r="F105" i="10"/>
  <c r="F104" i="10"/>
  <c r="F103" i="10"/>
  <c r="F102" i="10"/>
  <c r="F101" i="10"/>
  <c r="F100" i="10"/>
  <c r="F99" i="10"/>
  <c r="F98" i="10"/>
  <c r="F97" i="10"/>
  <c r="F96" i="10"/>
  <c r="F95" i="10"/>
  <c r="F94" i="10"/>
  <c r="F93" i="10"/>
  <c r="F92" i="10"/>
  <c r="F91" i="10"/>
  <c r="F90" i="10"/>
  <c r="AH89" i="10"/>
  <c r="F89" i="10"/>
  <c r="F88" i="10"/>
  <c r="F87" i="10"/>
  <c r="F86" i="10"/>
  <c r="F85" i="10"/>
  <c r="F84" i="10"/>
  <c r="F83" i="10"/>
  <c r="F82" i="10"/>
  <c r="F81" i="10"/>
  <c r="F80" i="10"/>
  <c r="F79" i="10"/>
  <c r="F78" i="10"/>
  <c r="F77" i="10"/>
  <c r="F76" i="10"/>
  <c r="F75" i="10"/>
  <c r="F74" i="10"/>
  <c r="F73" i="10"/>
  <c r="F72" i="10"/>
  <c r="F71" i="10"/>
  <c r="F70" i="10"/>
  <c r="AH69" i="10"/>
  <c r="AH70" i="10" s="1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AH49" i="10"/>
  <c r="AH50" i="10" s="1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AH29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AH9" i="10"/>
  <c r="AH10" i="10" s="1"/>
  <c r="AH11" i="10" s="1"/>
  <c r="F9" i="10"/>
  <c r="F8" i="10"/>
  <c r="E23" i="1" l="1"/>
  <c r="E43" i="1" s="1" a="1"/>
  <c r="E43" i="1" s="1"/>
  <c r="C83" i="1" s="1"/>
  <c r="C22" i="1"/>
  <c r="C42" i="1" s="1" a="1"/>
  <c r="C42" i="1" s="1"/>
  <c r="E19" i="1"/>
  <c r="E39" i="1" s="1" a="1"/>
  <c r="E39" i="1" s="1"/>
  <c r="C79" i="1" s="1"/>
  <c r="E40" i="1" a="1"/>
  <c r="E40" i="1" s="1"/>
  <c r="C80" i="1" s="1"/>
  <c r="D23" i="1"/>
  <c r="D41" i="1" a="1"/>
  <c r="D41" i="1" s="1"/>
  <c r="C19" i="1"/>
  <c r="C39" i="1" s="1" a="1"/>
  <c r="C39" i="1" s="1"/>
  <c r="C40" i="1" a="1"/>
  <c r="C40" i="1" s="1"/>
  <c r="D20" i="1"/>
  <c r="E22" i="1"/>
  <c r="E42" i="1" s="1" a="1"/>
  <c r="E42" i="1" s="1"/>
  <c r="C82" i="1" s="1"/>
  <c r="AH12" i="10"/>
  <c r="AH51" i="10"/>
  <c r="AH30" i="10"/>
  <c r="AH71" i="10"/>
  <c r="AH90" i="10"/>
  <c r="D19" i="1" l="1"/>
  <c r="D39" i="1" s="1" a="1"/>
  <c r="D39" i="1" s="1"/>
  <c r="D40" i="1" a="1"/>
  <c r="D40" i="1" s="1"/>
  <c r="D22" i="1"/>
  <c r="D42" i="1" s="1" a="1"/>
  <c r="D42" i="1" s="1"/>
  <c r="D43" i="1" a="1"/>
  <c r="D43" i="1" s="1"/>
  <c r="AH72" i="10"/>
  <c r="AH52" i="10"/>
  <c r="AH91" i="10"/>
  <c r="AH31" i="10"/>
  <c r="AH13" i="10"/>
  <c r="AH92" i="10" l="1"/>
  <c r="AH14" i="10"/>
  <c r="AH32" i="10"/>
  <c r="AH53" i="10"/>
  <c r="AH73" i="10"/>
  <c r="AH15" i="10" l="1"/>
  <c r="AH33" i="10"/>
  <c r="AH93" i="10"/>
  <c r="AH54" i="10"/>
  <c r="AH74" i="10"/>
  <c r="AH34" i="10" l="1"/>
  <c r="AH94" i="10"/>
  <c r="AH55" i="10"/>
  <c r="AH75" i="10"/>
  <c r="AH16" i="10"/>
  <c r="AH35" i="10" l="1"/>
  <c r="AH95" i="10"/>
  <c r="AH76" i="10"/>
  <c r="AH17" i="10"/>
  <c r="AH56" i="10"/>
  <c r="AH18" i="10" l="1"/>
  <c r="AH77" i="10"/>
  <c r="AH36" i="10"/>
  <c r="AH96" i="10"/>
  <c r="AH57" i="10"/>
  <c r="AH97" i="10" l="1"/>
  <c r="AH78" i="10"/>
  <c r="AH19" i="10"/>
  <c r="AH58" i="10"/>
  <c r="AH37" i="10"/>
  <c r="AH59" i="10" l="1"/>
  <c r="AH79" i="10"/>
  <c r="AH38" i="10"/>
  <c r="AH20" i="10"/>
  <c r="AH98" i="10"/>
  <c r="AH21" i="10" l="1"/>
  <c r="AH80" i="10"/>
  <c r="AH99" i="10"/>
  <c r="AH39" i="10"/>
  <c r="AH60" i="10"/>
  <c r="AH100" i="10" l="1"/>
  <c r="AH22" i="10"/>
  <c r="AH61" i="10"/>
  <c r="AH40" i="10"/>
  <c r="AH81" i="10"/>
  <c r="AH82" i="10" l="1"/>
  <c r="AH41" i="10"/>
  <c r="AH23" i="10"/>
  <c r="AH62" i="10"/>
  <c r="AH101" i="10"/>
  <c r="AH63" i="10" l="1"/>
  <c r="AH42" i="10"/>
  <c r="AH102" i="10"/>
  <c r="AH24" i="10"/>
  <c r="AH83" i="10"/>
  <c r="AH25" i="10" l="1"/>
  <c r="AH43" i="10"/>
  <c r="AH84" i="10"/>
  <c r="AH103" i="10"/>
  <c r="AH64" i="10"/>
  <c r="AH44" i="10" l="1"/>
  <c r="AH104" i="10"/>
  <c r="AH26" i="10"/>
  <c r="AH65" i="10"/>
  <c r="AH85" i="10"/>
  <c r="AH105" i="10" l="1"/>
  <c r="AH86" i="10"/>
  <c r="AH27" i="10"/>
  <c r="AH66" i="10"/>
  <c r="AH45" i="10"/>
  <c r="AH87" i="10" l="1"/>
  <c r="AH46" i="10"/>
  <c r="AH67" i="10"/>
  <c r="AH106" i="10"/>
  <c r="AH107" i="10" l="1"/>
  <c r="AH47" i="10"/>
  <c r="A14" i="8" l="1"/>
  <c r="C62" i="5"/>
  <c r="A19" i="8"/>
  <c r="A18" i="8"/>
  <c r="A17" i="8"/>
  <c r="C12" i="8" l="1"/>
  <c r="C18" i="8"/>
  <c r="C9" i="8"/>
  <c r="C17" i="8"/>
  <c r="F40" i="8"/>
  <c r="F41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8" i="8"/>
  <c r="A20" i="8"/>
  <c r="A21" i="8"/>
  <c r="A22" i="8" l="1"/>
  <c r="A23" i="8"/>
  <c r="A24" i="8"/>
  <c r="A25" i="8"/>
  <c r="C61" i="5" l="1"/>
  <c r="C10" i="8" l="1"/>
  <c r="C67" i="5"/>
  <c r="C14" i="8" s="1"/>
  <c r="AH89" i="8"/>
  <c r="AH69" i="8"/>
  <c r="AH49" i="8"/>
  <c r="AH29" i="8"/>
  <c r="AH9" i="8"/>
  <c r="AH30" i="8" l="1"/>
  <c r="AH70" i="8"/>
  <c r="AH90" i="8"/>
  <c r="AH10" i="8"/>
  <c r="AH50" i="8"/>
  <c r="J19" i="5"/>
  <c r="J42" i="5" s="1" a="1"/>
  <c r="J42" i="5" s="1"/>
  <c r="J29" i="5"/>
  <c r="J34" i="5" s="1"/>
  <c r="J30" i="5"/>
  <c r="J31" i="5" s="1"/>
  <c r="J38" i="5"/>
  <c r="J39" i="5" l="1"/>
  <c r="J32" i="5"/>
  <c r="J33" i="5"/>
  <c r="AH91" i="8"/>
  <c r="AH92" i="8" s="1"/>
  <c r="AH11" i="8"/>
  <c r="AH31" i="8"/>
  <c r="AH71" i="8"/>
  <c r="AH51" i="8"/>
  <c r="J40" i="5"/>
  <c r="I38" i="5"/>
  <c r="I30" i="5"/>
  <c r="I31" i="5" s="1"/>
  <c r="I29" i="5"/>
  <c r="I34" i="5" s="1"/>
  <c r="I19" i="5"/>
  <c r="I42" i="5" s="1" a="1"/>
  <c r="I42" i="5" s="1"/>
  <c r="H38" i="5"/>
  <c r="G38" i="5"/>
  <c r="F38" i="5"/>
  <c r="F39" i="5" s="1"/>
  <c r="H30" i="5"/>
  <c r="H33" i="5" s="1"/>
  <c r="G30" i="5"/>
  <c r="G33" i="5" s="1"/>
  <c r="F30" i="5"/>
  <c r="F31" i="5" s="1"/>
  <c r="H29" i="5"/>
  <c r="H34" i="5" s="1"/>
  <c r="G29" i="5"/>
  <c r="G34" i="5" s="1"/>
  <c r="F29" i="5"/>
  <c r="F34" i="5" s="1"/>
  <c r="H19" i="5"/>
  <c r="H42" i="5" s="1" a="1"/>
  <c r="H42" i="5" s="1"/>
  <c r="G19" i="5"/>
  <c r="G42" i="5" s="1" a="1"/>
  <c r="G42" i="5" s="1"/>
  <c r="F19" i="5"/>
  <c r="F42" i="5" s="1" a="1"/>
  <c r="F42" i="5" s="1"/>
  <c r="E38" i="5"/>
  <c r="E30" i="5"/>
  <c r="E33" i="5" s="1"/>
  <c r="E29" i="5"/>
  <c r="E34" i="5" s="1"/>
  <c r="E19" i="5"/>
  <c r="E42" i="5" s="1" a="1"/>
  <c r="E42" i="5" s="1"/>
  <c r="C38" i="5"/>
  <c r="C30" i="5"/>
  <c r="C33" i="5" s="1"/>
  <c r="C81" i="5" s="1"/>
  <c r="C29" i="5"/>
  <c r="C34" i="5" s="1"/>
  <c r="C78" i="5" s="1"/>
  <c r="C19" i="5"/>
  <c r="C42" i="5" s="1" a="1"/>
  <c r="C42" i="5" s="1"/>
  <c r="C84" i="5" s="1"/>
  <c r="AH12" i="8" l="1"/>
  <c r="AH13" i="8" s="1"/>
  <c r="AH72" i="8"/>
  <c r="AH32" i="8"/>
  <c r="AH52" i="8"/>
  <c r="AH93" i="8"/>
  <c r="J22" i="5"/>
  <c r="J21" i="5" s="1"/>
  <c r="I39" i="5"/>
  <c r="I40" i="5" s="1"/>
  <c r="I33" i="5"/>
  <c r="I32" i="5"/>
  <c r="C32" i="5"/>
  <c r="C80" i="5" s="1"/>
  <c r="C39" i="5"/>
  <c r="C40" i="5" s="1"/>
  <c r="E32" i="5"/>
  <c r="G31" i="5"/>
  <c r="G32" i="5"/>
  <c r="G39" i="5"/>
  <c r="G40" i="5" s="1"/>
  <c r="G22" i="5" s="1"/>
  <c r="G21" i="5" s="1"/>
  <c r="G44" i="5" s="1" a="1"/>
  <c r="G44" i="5" s="1"/>
  <c r="F32" i="5"/>
  <c r="F40" i="5"/>
  <c r="F22" i="5" s="1"/>
  <c r="F21" i="5" s="1"/>
  <c r="E39" i="5"/>
  <c r="E40" i="5" s="1"/>
  <c r="E22" i="5" s="1"/>
  <c r="H32" i="5"/>
  <c r="H39" i="5"/>
  <c r="H40" i="5" s="1"/>
  <c r="H31" i="5"/>
  <c r="F33" i="5"/>
  <c r="E31" i="5"/>
  <c r="C31" i="5"/>
  <c r="C79" i="5" s="1"/>
  <c r="C22" i="5" l="1"/>
  <c r="C21" i="5" s="1"/>
  <c r="C44" i="5" s="1" a="1"/>
  <c r="C44" i="5" s="1"/>
  <c r="AH33" i="8"/>
  <c r="AH73" i="8"/>
  <c r="AH94" i="8"/>
  <c r="AH14" i="8"/>
  <c r="AH53" i="8"/>
  <c r="J44" i="5" a="1"/>
  <c r="J44" i="5" s="1"/>
  <c r="J20" i="5"/>
  <c r="J43" i="5" s="1" a="1"/>
  <c r="J43" i="5" s="1"/>
  <c r="J45" i="5" a="1"/>
  <c r="J45" i="5" s="1"/>
  <c r="J24" i="5"/>
  <c r="I22" i="5"/>
  <c r="H22" i="5"/>
  <c r="F44" i="5" a="1"/>
  <c r="F44" i="5" s="1"/>
  <c r="F20" i="5"/>
  <c r="F43" i="5" s="1" a="1"/>
  <c r="F43" i="5" s="1"/>
  <c r="G24" i="5"/>
  <c r="G26" i="5" s="1"/>
  <c r="G45" i="5" a="1"/>
  <c r="G45" i="5" s="1"/>
  <c r="G20" i="5"/>
  <c r="G43" i="5" s="1" a="1"/>
  <c r="G43" i="5" s="1"/>
  <c r="F45" i="5" a="1"/>
  <c r="F45" i="5" s="1"/>
  <c r="F24" i="5"/>
  <c r="F26" i="5" s="1"/>
  <c r="E24" i="5"/>
  <c r="E26" i="5" s="1"/>
  <c r="E45" i="5" a="1"/>
  <c r="E45" i="5" s="1"/>
  <c r="E21" i="5"/>
  <c r="E44" i="5" s="1" a="1"/>
  <c r="E44" i="5" s="1"/>
  <c r="C24" i="5" l="1"/>
  <c r="C26" i="5" s="1"/>
  <c r="C49" i="5" s="1" a="1"/>
  <c r="C49" i="5" s="1"/>
  <c r="C20" i="5"/>
  <c r="C43" i="5" s="1" a="1"/>
  <c r="C43" i="5" s="1"/>
  <c r="C45" i="5" a="1"/>
  <c r="C45" i="5" s="1"/>
  <c r="AH74" i="8"/>
  <c r="AH34" i="8"/>
  <c r="AH15" i="8"/>
  <c r="AH54" i="8"/>
  <c r="AH95" i="8"/>
  <c r="J26" i="5"/>
  <c r="J49" i="5" s="1" a="1"/>
  <c r="J49" i="5" s="1"/>
  <c r="J47" i="5" a="1"/>
  <c r="J47" i="5" s="1"/>
  <c r="J23" i="5"/>
  <c r="I45" i="5" a="1"/>
  <c r="I45" i="5" s="1"/>
  <c r="I24" i="5"/>
  <c r="I21" i="5"/>
  <c r="F47" i="5" a="1"/>
  <c r="F47" i="5" s="1"/>
  <c r="F49" i="5" a="1"/>
  <c r="F49" i="5" s="1"/>
  <c r="F23" i="5"/>
  <c r="H45" i="5" a="1"/>
  <c r="H45" i="5" s="1"/>
  <c r="H24" i="5"/>
  <c r="H26" i="5" s="1"/>
  <c r="G49" i="5" a="1"/>
  <c r="G49" i="5" s="1"/>
  <c r="G47" i="5" a="1"/>
  <c r="G47" i="5" s="1"/>
  <c r="G23" i="5"/>
  <c r="H21" i="5"/>
  <c r="E20" i="5"/>
  <c r="E43" i="5" s="1" a="1"/>
  <c r="E43" i="5" s="1"/>
  <c r="E47" i="5" a="1"/>
  <c r="E47" i="5" s="1"/>
  <c r="E49" i="5" a="1"/>
  <c r="E49" i="5" s="1"/>
  <c r="E23" i="5"/>
  <c r="C23" i="5" l="1"/>
  <c r="C25" i="5" s="1"/>
  <c r="C48" i="5" s="1" a="1"/>
  <c r="C48" i="5" s="1"/>
  <c r="C47" i="5" a="1"/>
  <c r="C47" i="5" s="1"/>
  <c r="AH75" i="8"/>
  <c r="AH35" i="8"/>
  <c r="AH16" i="8"/>
  <c r="AH96" i="8"/>
  <c r="AH55" i="8"/>
  <c r="J46" i="5" a="1"/>
  <c r="J46" i="5" s="1"/>
  <c r="J25" i="5"/>
  <c r="J48" i="5" s="1" a="1"/>
  <c r="J48" i="5" s="1"/>
  <c r="I44" i="5" a="1"/>
  <c r="I44" i="5" s="1"/>
  <c r="I20" i="5"/>
  <c r="I43" i="5" s="1" a="1"/>
  <c r="I43" i="5" s="1"/>
  <c r="I23" i="5"/>
  <c r="I47" i="5" a="1"/>
  <c r="I47" i="5" s="1"/>
  <c r="I26" i="5"/>
  <c r="I49" i="5" s="1" a="1"/>
  <c r="I49" i="5" s="1"/>
  <c r="G46" i="5" a="1"/>
  <c r="G46" i="5" s="1"/>
  <c r="G25" i="5"/>
  <c r="G48" i="5" s="1" a="1"/>
  <c r="G48" i="5" s="1"/>
  <c r="F25" i="5"/>
  <c r="F48" i="5" s="1" a="1"/>
  <c r="F48" i="5" s="1"/>
  <c r="F46" i="5" a="1"/>
  <c r="F46" i="5" s="1"/>
  <c r="H44" i="5" a="1"/>
  <c r="H44" i="5" s="1"/>
  <c r="H20" i="5"/>
  <c r="H43" i="5" s="1" a="1"/>
  <c r="H43" i="5" s="1"/>
  <c r="H47" i="5" a="1"/>
  <c r="H47" i="5" s="1"/>
  <c r="H49" i="5" a="1"/>
  <c r="H49" i="5" s="1"/>
  <c r="H23" i="5"/>
  <c r="E25" i="5"/>
  <c r="E48" i="5" s="1" a="1"/>
  <c r="E48" i="5" s="1"/>
  <c r="E46" i="5" a="1"/>
  <c r="E46" i="5" s="1"/>
  <c r="C46" i="5" l="1" a="1"/>
  <c r="C46" i="5" s="1"/>
  <c r="AH76" i="8"/>
  <c r="AH36" i="8"/>
  <c r="AH97" i="8"/>
  <c r="AH56" i="8"/>
  <c r="AH17" i="8"/>
  <c r="I25" i="5"/>
  <c r="I48" i="5" s="1" a="1"/>
  <c r="I48" i="5" s="1"/>
  <c r="I46" i="5" a="1"/>
  <c r="I46" i="5" s="1"/>
  <c r="H25" i="5"/>
  <c r="H48" i="5" s="1" a="1"/>
  <c r="H48" i="5" s="1"/>
  <c r="H46" i="5" a="1"/>
  <c r="H46" i="5" s="1"/>
  <c r="AH77" i="8" l="1"/>
  <c r="AH37" i="8"/>
  <c r="AH18" i="8"/>
  <c r="AH57" i="8"/>
  <c r="AH98" i="8"/>
  <c r="AH78" i="8" l="1"/>
  <c r="AH38" i="8"/>
  <c r="AH99" i="8"/>
  <c r="AH58" i="8"/>
  <c r="AH19" i="8"/>
  <c r="AH79" i="8" l="1"/>
  <c r="AH39" i="8"/>
  <c r="AH100" i="8"/>
  <c r="AH20" i="8"/>
  <c r="AH59" i="8"/>
  <c r="AH40" i="8" l="1"/>
  <c r="AH80" i="8"/>
  <c r="AH21" i="8"/>
  <c r="AH60" i="8"/>
  <c r="AH101" i="8"/>
  <c r="AH41" i="8" l="1"/>
  <c r="AH81" i="8"/>
  <c r="AH102" i="8"/>
  <c r="AH61" i="8"/>
  <c r="AH22" i="8"/>
  <c r="D19" i="5"/>
  <c r="D42" i="5" s="1" a="1"/>
  <c r="D42" i="5" s="1"/>
  <c r="D38" i="5"/>
  <c r="D30" i="5"/>
  <c r="D33" i="5" s="1"/>
  <c r="D29" i="5"/>
  <c r="D34" i="5" s="1"/>
  <c r="AH42" i="8" l="1"/>
  <c r="AH82" i="8"/>
  <c r="AH23" i="8"/>
  <c r="AH62" i="8"/>
  <c r="AH103" i="8"/>
  <c r="D39" i="5"/>
  <c r="D40" i="5" s="1"/>
  <c r="D32" i="5"/>
  <c r="D31" i="5"/>
  <c r="D22" i="5" l="1"/>
  <c r="D21" i="5" s="1"/>
  <c r="D44" i="5" s="1" a="1"/>
  <c r="D44" i="5" s="1"/>
  <c r="C86" i="5" s="1"/>
  <c r="C83" i="5"/>
  <c r="C25" i="8" s="1"/>
  <c r="AH83" i="8"/>
  <c r="AH43" i="8"/>
  <c r="AH104" i="8"/>
  <c r="AH63" i="8"/>
  <c r="AH24" i="8"/>
  <c r="D24" i="5" l="1"/>
  <c r="D26" i="5" s="1"/>
  <c r="D49" i="5" s="1" a="1"/>
  <c r="D49" i="5" s="1"/>
  <c r="C91" i="5" s="1"/>
  <c r="C45" i="8" s="1"/>
  <c r="D45" i="5" a="1"/>
  <c r="D45" i="5" s="1"/>
  <c r="C87" i="5" s="1"/>
  <c r="AH44" i="8"/>
  <c r="AH84" i="8"/>
  <c r="AH25" i="8"/>
  <c r="AH64" i="8"/>
  <c r="AH105" i="8"/>
  <c r="D20" i="5"/>
  <c r="D43" i="5" s="1" a="1"/>
  <c r="D43" i="5" s="1"/>
  <c r="C85" i="5" s="1"/>
  <c r="D47" i="5" a="1"/>
  <c r="D47" i="5" s="1"/>
  <c r="C89" i="5" s="1"/>
  <c r="E18" i="1"/>
  <c r="E38" i="1" s="1" a="1"/>
  <c r="E38" i="1" s="1"/>
  <c r="C78" i="1" s="1"/>
  <c r="C18" i="1"/>
  <c r="C38" i="1" s="1" a="1"/>
  <c r="C38" i="1" s="1"/>
  <c r="D18" i="1"/>
  <c r="D38" i="1" s="1" a="1"/>
  <c r="D38" i="1" s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C67" i="1"/>
  <c r="C65" i="1"/>
  <c r="C19" i="10" s="1"/>
  <c r="C62" i="1"/>
  <c r="C60" i="1"/>
  <c r="C59" i="1"/>
  <c r="C68" i="1" s="1"/>
  <c r="C58" i="1"/>
  <c r="C13" i="10" s="1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06" i="5"/>
  <c r="B105" i="5"/>
  <c r="B104" i="5"/>
  <c r="B103" i="5"/>
  <c r="B102" i="5"/>
  <c r="B101" i="5"/>
  <c r="B100" i="5"/>
  <c r="B99" i="5"/>
  <c r="B98" i="5"/>
  <c r="B97" i="5"/>
  <c r="C72" i="5"/>
  <c r="C70" i="5"/>
  <c r="C65" i="5"/>
  <c r="C64" i="5"/>
  <c r="C63" i="5"/>
  <c r="D23" i="5" l="1"/>
  <c r="D25" i="5" s="1"/>
  <c r="D48" i="5" s="1" a="1"/>
  <c r="D48" i="5" s="1"/>
  <c r="C90" i="5" s="1"/>
  <c r="C25" i="10"/>
  <c r="C69" i="1"/>
  <c r="C15" i="10" s="1"/>
  <c r="C26" i="10" s="1"/>
  <c r="C27" i="10"/>
  <c r="C14" i="10"/>
  <c r="C11" i="10"/>
  <c r="C13" i="8"/>
  <c r="C11" i="8"/>
  <c r="C19" i="8"/>
  <c r="AH45" i="8"/>
  <c r="AH85" i="8"/>
  <c r="AH26" i="8"/>
  <c r="AH106" i="8"/>
  <c r="AH65" i="8"/>
  <c r="B49" i="6"/>
  <c r="B73" i="6" s="1"/>
  <c r="B97" i="6" s="1"/>
  <c r="B121" i="6" s="1"/>
  <c r="B145" i="6" s="1"/>
  <c r="B48" i="6"/>
  <c r="B72" i="6" s="1"/>
  <c r="B96" i="6" s="1"/>
  <c r="B120" i="6" s="1"/>
  <c r="B144" i="6" s="1"/>
  <c r="B47" i="6"/>
  <c r="B71" i="6" s="1"/>
  <c r="B95" i="6" s="1"/>
  <c r="B119" i="6" s="1"/>
  <c r="B143" i="6" s="1"/>
  <c r="B46" i="6"/>
  <c r="B70" i="6" s="1"/>
  <c r="B94" i="6" s="1"/>
  <c r="B118" i="6" s="1"/>
  <c r="B142" i="6" s="1"/>
  <c r="B45" i="6"/>
  <c r="B69" i="6" s="1"/>
  <c r="B93" i="6" s="1"/>
  <c r="B117" i="6" s="1"/>
  <c r="B141" i="6" s="1"/>
  <c r="B44" i="6"/>
  <c r="B68" i="6" s="1"/>
  <c r="B92" i="6" s="1"/>
  <c r="B116" i="6" s="1"/>
  <c r="B140" i="6" s="1"/>
  <c r="B43" i="6"/>
  <c r="B67" i="6" s="1"/>
  <c r="B91" i="6" s="1"/>
  <c r="B115" i="6" s="1"/>
  <c r="B139" i="6" s="1"/>
  <c r="B42" i="6"/>
  <c r="B66" i="6" s="1"/>
  <c r="B90" i="6" s="1"/>
  <c r="B114" i="6" s="1"/>
  <c r="B138" i="6" s="1"/>
  <c r="B41" i="6"/>
  <c r="B65" i="6" s="1"/>
  <c r="B89" i="6" s="1"/>
  <c r="B113" i="6" s="1"/>
  <c r="B137" i="6" s="1"/>
  <c r="B40" i="6"/>
  <c r="B64" i="6" s="1"/>
  <c r="B88" i="6" s="1"/>
  <c r="B112" i="6" s="1"/>
  <c r="B136" i="6" s="1"/>
  <c r="B39" i="6"/>
  <c r="B63" i="6" s="1"/>
  <c r="B87" i="6" s="1"/>
  <c r="B111" i="6" s="1"/>
  <c r="B135" i="6" s="1"/>
  <c r="B38" i="6"/>
  <c r="B62" i="6" s="1"/>
  <c r="B86" i="6" s="1"/>
  <c r="B110" i="6" s="1"/>
  <c r="B134" i="6" s="1"/>
  <c r="B158" i="6" s="1"/>
  <c r="B37" i="6"/>
  <c r="B61" i="6" s="1"/>
  <c r="B85" i="6" s="1"/>
  <c r="B109" i="6" s="1"/>
  <c r="B133" i="6" s="1"/>
  <c r="B157" i="6" s="1"/>
  <c r="B36" i="6"/>
  <c r="B60" i="6" s="1"/>
  <c r="B84" i="6" s="1"/>
  <c r="B108" i="6" s="1"/>
  <c r="B132" i="6" s="1"/>
  <c r="B156" i="6" s="1"/>
  <c r="B35" i="6"/>
  <c r="B59" i="6" s="1"/>
  <c r="B83" i="6" s="1"/>
  <c r="B107" i="6" s="1"/>
  <c r="B131" i="6" s="1"/>
  <c r="B155" i="6" s="1"/>
  <c r="B34" i="6"/>
  <c r="B58" i="6" s="1"/>
  <c r="B82" i="6" s="1"/>
  <c r="B106" i="6" s="1"/>
  <c r="B130" i="6" s="1"/>
  <c r="B154" i="6" s="1"/>
  <c r="B33" i="6"/>
  <c r="B57" i="6" s="1"/>
  <c r="B81" i="6" s="1"/>
  <c r="B105" i="6" s="1"/>
  <c r="B129" i="6" s="1"/>
  <c r="B153" i="6" s="1"/>
  <c r="B32" i="6"/>
  <c r="B56" i="6" s="1"/>
  <c r="B80" i="6" s="1"/>
  <c r="B104" i="6" s="1"/>
  <c r="B128" i="6" s="1"/>
  <c r="B152" i="6" s="1"/>
  <c r="B31" i="6"/>
  <c r="B55" i="6" s="1"/>
  <c r="B79" i="6" s="1"/>
  <c r="B103" i="6" s="1"/>
  <c r="B127" i="6" s="1"/>
  <c r="B151" i="6" s="1"/>
  <c r="B30" i="6"/>
  <c r="B54" i="6" s="1"/>
  <c r="B78" i="6" s="1"/>
  <c r="B102" i="6" s="1"/>
  <c r="B126" i="6" s="1"/>
  <c r="B150" i="6" s="1"/>
  <c r="B29" i="6"/>
  <c r="B53" i="6" s="1"/>
  <c r="B77" i="6" s="1"/>
  <c r="B101" i="6" s="1"/>
  <c r="B125" i="6" s="1"/>
  <c r="B149" i="6" s="1"/>
  <c r="B28" i="6"/>
  <c r="B52" i="6" s="1"/>
  <c r="B76" i="6" s="1"/>
  <c r="B100" i="6" s="1"/>
  <c r="B124" i="6" s="1"/>
  <c r="B148" i="6" s="1"/>
  <c r="B27" i="6"/>
  <c r="B51" i="6" s="1"/>
  <c r="B75" i="6" s="1"/>
  <c r="B99" i="6" s="1"/>
  <c r="B123" i="6" s="1"/>
  <c r="B147" i="6" s="1"/>
  <c r="B26" i="6"/>
  <c r="B50" i="6" s="1"/>
  <c r="B74" i="6" s="1"/>
  <c r="B98" i="6" s="1"/>
  <c r="B122" i="6" s="1"/>
  <c r="B146" i="6" s="1"/>
  <c r="A25" i="6"/>
  <c r="A37" i="6" s="1"/>
  <c r="A49" i="6" s="1"/>
  <c r="A61" i="6" s="1"/>
  <c r="A73" i="6" s="1"/>
  <c r="A85" i="6" s="1"/>
  <c r="A97" i="6" s="1"/>
  <c r="A109" i="6" s="1"/>
  <c r="A121" i="6" s="1"/>
  <c r="A133" i="6" s="1"/>
  <c r="A145" i="6" s="1"/>
  <c r="A157" i="6" s="1"/>
  <c r="A24" i="6"/>
  <c r="A36" i="6" s="1"/>
  <c r="A48" i="6" s="1"/>
  <c r="A60" i="6" s="1"/>
  <c r="A72" i="6" s="1"/>
  <c r="A84" i="6" s="1"/>
  <c r="A96" i="6" s="1"/>
  <c r="A108" i="6" s="1"/>
  <c r="A120" i="6" s="1"/>
  <c r="A132" i="6" s="1"/>
  <c r="A144" i="6" s="1"/>
  <c r="A156" i="6" s="1"/>
  <c r="A23" i="6"/>
  <c r="A35" i="6" s="1"/>
  <c r="A47" i="6" s="1"/>
  <c r="A59" i="6" s="1"/>
  <c r="A71" i="6" s="1"/>
  <c r="A83" i="6" s="1"/>
  <c r="A95" i="6" s="1"/>
  <c r="A107" i="6" s="1"/>
  <c r="A119" i="6" s="1"/>
  <c r="A131" i="6" s="1"/>
  <c r="A143" i="6" s="1"/>
  <c r="A155" i="6" s="1"/>
  <c r="A22" i="6"/>
  <c r="A34" i="6" s="1"/>
  <c r="A46" i="6" s="1"/>
  <c r="A58" i="6" s="1"/>
  <c r="A70" i="6" s="1"/>
  <c r="A82" i="6" s="1"/>
  <c r="A94" i="6" s="1"/>
  <c r="A106" i="6" s="1"/>
  <c r="A118" i="6" s="1"/>
  <c r="A130" i="6" s="1"/>
  <c r="A142" i="6" s="1"/>
  <c r="A154" i="6" s="1"/>
  <c r="A21" i="6"/>
  <c r="A33" i="6" s="1"/>
  <c r="A45" i="6" s="1"/>
  <c r="A57" i="6" s="1"/>
  <c r="A69" i="6" s="1"/>
  <c r="A81" i="6" s="1"/>
  <c r="A93" i="6" s="1"/>
  <c r="A105" i="6" s="1"/>
  <c r="A117" i="6" s="1"/>
  <c r="A129" i="6" s="1"/>
  <c r="A141" i="6" s="1"/>
  <c r="A153" i="6" s="1"/>
  <c r="A20" i="6"/>
  <c r="A32" i="6" s="1"/>
  <c r="A44" i="6" s="1"/>
  <c r="A56" i="6" s="1"/>
  <c r="A68" i="6" s="1"/>
  <c r="A80" i="6" s="1"/>
  <c r="A92" i="6" s="1"/>
  <c r="A104" i="6" s="1"/>
  <c r="A116" i="6" s="1"/>
  <c r="A128" i="6" s="1"/>
  <c r="A140" i="6" s="1"/>
  <c r="A152" i="6" s="1"/>
  <c r="A19" i="6"/>
  <c r="A31" i="6" s="1"/>
  <c r="A43" i="6" s="1"/>
  <c r="A55" i="6" s="1"/>
  <c r="A67" i="6" s="1"/>
  <c r="A79" i="6" s="1"/>
  <c r="A91" i="6" s="1"/>
  <c r="A103" i="6" s="1"/>
  <c r="A115" i="6" s="1"/>
  <c r="A127" i="6" s="1"/>
  <c r="A139" i="6" s="1"/>
  <c r="A151" i="6" s="1"/>
  <c r="A18" i="6"/>
  <c r="A30" i="6" s="1"/>
  <c r="A42" i="6" s="1"/>
  <c r="A54" i="6" s="1"/>
  <c r="A66" i="6" s="1"/>
  <c r="A78" i="6" s="1"/>
  <c r="A90" i="6" s="1"/>
  <c r="A102" i="6" s="1"/>
  <c r="A114" i="6" s="1"/>
  <c r="A126" i="6" s="1"/>
  <c r="A138" i="6" s="1"/>
  <c r="A150" i="6" s="1"/>
  <c r="A17" i="6"/>
  <c r="A29" i="6" s="1"/>
  <c r="A41" i="6" s="1"/>
  <c r="A53" i="6" s="1"/>
  <c r="A65" i="6" s="1"/>
  <c r="A77" i="6" s="1"/>
  <c r="A89" i="6" s="1"/>
  <c r="A101" i="6" s="1"/>
  <c r="A113" i="6" s="1"/>
  <c r="A125" i="6" s="1"/>
  <c r="A137" i="6" s="1"/>
  <c r="A149" i="6" s="1"/>
  <c r="A16" i="6"/>
  <c r="A28" i="6" s="1"/>
  <c r="A40" i="6" s="1"/>
  <c r="A52" i="6" s="1"/>
  <c r="A64" i="6" s="1"/>
  <c r="A76" i="6" s="1"/>
  <c r="A88" i="6" s="1"/>
  <c r="A100" i="6" s="1"/>
  <c r="A112" i="6" s="1"/>
  <c r="A124" i="6" s="1"/>
  <c r="A136" i="6" s="1"/>
  <c r="A148" i="6" s="1"/>
  <c r="A15" i="6"/>
  <c r="A27" i="6" s="1"/>
  <c r="A39" i="6" s="1"/>
  <c r="A51" i="6" s="1"/>
  <c r="A63" i="6" s="1"/>
  <c r="A75" i="6" s="1"/>
  <c r="A87" i="6" s="1"/>
  <c r="A99" i="6" s="1"/>
  <c r="A111" i="6" s="1"/>
  <c r="A123" i="6" s="1"/>
  <c r="A135" i="6" s="1"/>
  <c r="A147" i="6" s="1"/>
  <c r="A14" i="6"/>
  <c r="A26" i="6" s="1"/>
  <c r="A38" i="6" s="1"/>
  <c r="A50" i="6" s="1"/>
  <c r="A62" i="6" s="1"/>
  <c r="A74" i="6" s="1"/>
  <c r="A86" i="6" s="1"/>
  <c r="A98" i="6" s="1"/>
  <c r="A110" i="6" s="1"/>
  <c r="A122" i="6" s="1"/>
  <c r="A134" i="6" s="1"/>
  <c r="A146" i="6" s="1"/>
  <c r="A158" i="6" s="1"/>
  <c r="D46" i="5" l="1" a="1"/>
  <c r="D46" i="5" s="1"/>
  <c r="C88" i="5" s="1"/>
  <c r="M8" i="8"/>
  <c r="M9" i="10"/>
  <c r="M86" i="10"/>
  <c r="M104" i="10"/>
  <c r="M40" i="10"/>
  <c r="M95" i="10"/>
  <c r="M31" i="10"/>
  <c r="M54" i="10"/>
  <c r="M88" i="10"/>
  <c r="M24" i="10"/>
  <c r="M79" i="10"/>
  <c r="M15" i="10"/>
  <c r="M22" i="10"/>
  <c r="M72" i="10"/>
  <c r="M127" i="10"/>
  <c r="M63" i="10"/>
  <c r="M106" i="10"/>
  <c r="M118" i="10"/>
  <c r="M120" i="10"/>
  <c r="M56" i="10"/>
  <c r="M111" i="10"/>
  <c r="M47" i="10"/>
  <c r="M74" i="10"/>
  <c r="M42" i="10"/>
  <c r="M10" i="10"/>
  <c r="M117" i="10"/>
  <c r="M101" i="10"/>
  <c r="M85" i="10"/>
  <c r="M69" i="10"/>
  <c r="M53" i="10"/>
  <c r="M37" i="10"/>
  <c r="M21" i="10"/>
  <c r="M110" i="10"/>
  <c r="M78" i="10"/>
  <c r="M46" i="10"/>
  <c r="M14" i="10"/>
  <c r="M116" i="10"/>
  <c r="M100" i="10"/>
  <c r="M84" i="10"/>
  <c r="M68" i="10"/>
  <c r="M52" i="10"/>
  <c r="M36" i="10"/>
  <c r="M20" i="10"/>
  <c r="M123" i="10"/>
  <c r="M107" i="10"/>
  <c r="M91" i="10"/>
  <c r="M75" i="10"/>
  <c r="M59" i="10"/>
  <c r="M43" i="10"/>
  <c r="M27" i="10"/>
  <c r="M11" i="10"/>
  <c r="M98" i="10"/>
  <c r="M66" i="10"/>
  <c r="M34" i="10"/>
  <c r="M8" i="10"/>
  <c r="M113" i="10"/>
  <c r="M97" i="10"/>
  <c r="M81" i="10"/>
  <c r="M65" i="10"/>
  <c r="M49" i="10"/>
  <c r="M33" i="10"/>
  <c r="M17" i="10"/>
  <c r="M102" i="10"/>
  <c r="M70" i="10"/>
  <c r="M38" i="10"/>
  <c r="M128" i="10"/>
  <c r="M112" i="10"/>
  <c r="M96" i="10"/>
  <c r="M80" i="10"/>
  <c r="M64" i="10"/>
  <c r="M48" i="10"/>
  <c r="M32" i="10"/>
  <c r="M16" i="10"/>
  <c r="M119" i="10"/>
  <c r="M103" i="10"/>
  <c r="M87" i="10"/>
  <c r="M71" i="10"/>
  <c r="M55" i="10"/>
  <c r="M39" i="10"/>
  <c r="M23" i="10"/>
  <c r="M122" i="10"/>
  <c r="M90" i="10"/>
  <c r="M58" i="10"/>
  <c r="M26" i="10"/>
  <c r="M125" i="10"/>
  <c r="M109" i="10"/>
  <c r="M93" i="10"/>
  <c r="M77" i="10"/>
  <c r="M61" i="10"/>
  <c r="M45" i="10"/>
  <c r="M29" i="10"/>
  <c r="M13" i="10"/>
  <c r="M126" i="10"/>
  <c r="M94" i="10"/>
  <c r="M62" i="10"/>
  <c r="M30" i="10"/>
  <c r="M124" i="10"/>
  <c r="M108" i="10"/>
  <c r="M92" i="10"/>
  <c r="M76" i="10"/>
  <c r="M60" i="10"/>
  <c r="M44" i="10"/>
  <c r="M28" i="10"/>
  <c r="M12" i="10"/>
  <c r="M115" i="10"/>
  <c r="M99" i="10"/>
  <c r="M83" i="10"/>
  <c r="M67" i="10"/>
  <c r="M51" i="10"/>
  <c r="M35" i="10"/>
  <c r="M19" i="10"/>
  <c r="M114" i="10"/>
  <c r="M82" i="10"/>
  <c r="M50" i="10"/>
  <c r="M18" i="10"/>
  <c r="M121" i="10"/>
  <c r="M105" i="10"/>
  <c r="M89" i="10"/>
  <c r="M73" i="10"/>
  <c r="M57" i="10"/>
  <c r="M41" i="10"/>
  <c r="M25" i="10"/>
  <c r="M64" i="8"/>
  <c r="M18" i="8"/>
  <c r="M34" i="8"/>
  <c r="M50" i="8"/>
  <c r="M66" i="8"/>
  <c r="M82" i="8"/>
  <c r="M98" i="8"/>
  <c r="M114" i="8"/>
  <c r="M11" i="8"/>
  <c r="M27" i="8"/>
  <c r="M43" i="8"/>
  <c r="M59" i="8"/>
  <c r="M75" i="8"/>
  <c r="M91" i="8"/>
  <c r="M107" i="8"/>
  <c r="M123" i="8"/>
  <c r="M20" i="8"/>
  <c r="M36" i="8"/>
  <c r="M52" i="8"/>
  <c r="M72" i="8"/>
  <c r="M88" i="8"/>
  <c r="M108" i="8"/>
  <c r="M33" i="8"/>
  <c r="M97" i="8"/>
  <c r="M37" i="8"/>
  <c r="M101" i="8"/>
  <c r="M25" i="8"/>
  <c r="M89" i="8"/>
  <c r="M13" i="8"/>
  <c r="M77" i="8"/>
  <c r="M14" i="8"/>
  <c r="M30" i="8"/>
  <c r="M62" i="8"/>
  <c r="M78" i="8"/>
  <c r="M110" i="8"/>
  <c r="M23" i="8"/>
  <c r="M55" i="8"/>
  <c r="M87" i="8"/>
  <c r="M119" i="8"/>
  <c r="M32" i="8"/>
  <c r="M68" i="8"/>
  <c r="M104" i="8"/>
  <c r="M81" i="8"/>
  <c r="M85" i="8"/>
  <c r="M73" i="8"/>
  <c r="M61" i="8"/>
  <c r="M100" i="8"/>
  <c r="M22" i="8"/>
  <c r="M38" i="8"/>
  <c r="M54" i="8"/>
  <c r="M70" i="8"/>
  <c r="M86" i="8"/>
  <c r="M102" i="8"/>
  <c r="M118" i="8"/>
  <c r="M15" i="8"/>
  <c r="M31" i="8"/>
  <c r="M47" i="8"/>
  <c r="M63" i="8"/>
  <c r="M79" i="8"/>
  <c r="M95" i="8"/>
  <c r="M111" i="8"/>
  <c r="M127" i="8"/>
  <c r="M24" i="8"/>
  <c r="M40" i="8"/>
  <c r="M56" i="8"/>
  <c r="M76" i="8"/>
  <c r="M92" i="8"/>
  <c r="M112" i="8"/>
  <c r="M49" i="8"/>
  <c r="M113" i="8"/>
  <c r="M53" i="8"/>
  <c r="M117" i="8"/>
  <c r="M41" i="8"/>
  <c r="M105" i="8"/>
  <c r="M29" i="8"/>
  <c r="M93" i="8"/>
  <c r="M10" i="8"/>
  <c r="M26" i="8"/>
  <c r="M42" i="8"/>
  <c r="M58" i="8"/>
  <c r="M74" i="8"/>
  <c r="M90" i="8"/>
  <c r="M106" i="8"/>
  <c r="M122" i="8"/>
  <c r="M19" i="8"/>
  <c r="M35" i="8"/>
  <c r="M51" i="8"/>
  <c r="M67" i="8"/>
  <c r="M83" i="8"/>
  <c r="M99" i="8"/>
  <c r="M115" i="8"/>
  <c r="M12" i="8"/>
  <c r="M28" i="8"/>
  <c r="M44" i="8"/>
  <c r="M60" i="8"/>
  <c r="M80" i="8"/>
  <c r="M96" i="8"/>
  <c r="M116" i="8"/>
  <c r="M65" i="8"/>
  <c r="M124" i="8"/>
  <c r="M69" i="8"/>
  <c r="M125" i="8"/>
  <c r="M57" i="8"/>
  <c r="M120" i="8"/>
  <c r="M45" i="8"/>
  <c r="M109" i="8"/>
  <c r="M46" i="8"/>
  <c r="M94" i="8"/>
  <c r="M126" i="8"/>
  <c r="M39" i="8"/>
  <c r="M71" i="8"/>
  <c r="M103" i="8"/>
  <c r="M16" i="8"/>
  <c r="M48" i="8"/>
  <c r="M84" i="8"/>
  <c r="M17" i="8"/>
  <c r="M21" i="8"/>
  <c r="M9" i="8"/>
  <c r="M128" i="8"/>
  <c r="M121" i="8"/>
  <c r="N11" i="10"/>
  <c r="N15" i="10"/>
  <c r="N19" i="10"/>
  <c r="N23" i="10"/>
  <c r="N27" i="10"/>
  <c r="N31" i="10"/>
  <c r="N35" i="10"/>
  <c r="N39" i="10"/>
  <c r="N43" i="10"/>
  <c r="N47" i="10"/>
  <c r="N51" i="10"/>
  <c r="N55" i="10"/>
  <c r="N59" i="10"/>
  <c r="N63" i="10"/>
  <c r="N67" i="10"/>
  <c r="N71" i="10"/>
  <c r="N75" i="10"/>
  <c r="N79" i="10"/>
  <c r="N83" i="10"/>
  <c r="N87" i="10"/>
  <c r="N91" i="10"/>
  <c r="N95" i="10"/>
  <c r="N99" i="10"/>
  <c r="N103" i="10"/>
  <c r="N107" i="10"/>
  <c r="N111" i="10"/>
  <c r="N115" i="10"/>
  <c r="N119" i="10"/>
  <c r="N123" i="10"/>
  <c r="N127" i="10"/>
  <c r="N12" i="10"/>
  <c r="N16" i="10"/>
  <c r="N20" i="10"/>
  <c r="N24" i="10"/>
  <c r="N28" i="10"/>
  <c r="N32" i="10"/>
  <c r="N36" i="10"/>
  <c r="N40" i="10"/>
  <c r="N44" i="10"/>
  <c r="N48" i="10"/>
  <c r="N52" i="10"/>
  <c r="N56" i="10"/>
  <c r="N60" i="10"/>
  <c r="N64" i="10"/>
  <c r="N68" i="10"/>
  <c r="N72" i="10"/>
  <c r="N76" i="10"/>
  <c r="N80" i="10"/>
  <c r="N84" i="10"/>
  <c r="N88" i="10"/>
  <c r="N92" i="10"/>
  <c r="N96" i="10"/>
  <c r="N100" i="10"/>
  <c r="N104" i="10"/>
  <c r="N108" i="10"/>
  <c r="N112" i="10"/>
  <c r="N116" i="10"/>
  <c r="N120" i="10"/>
  <c r="N124" i="10"/>
  <c r="N128" i="10"/>
  <c r="N9" i="10"/>
  <c r="N13" i="10"/>
  <c r="N17" i="10"/>
  <c r="N21" i="10"/>
  <c r="N25" i="10"/>
  <c r="N29" i="10"/>
  <c r="N33" i="10"/>
  <c r="N37" i="10"/>
  <c r="N41" i="10"/>
  <c r="N45" i="10"/>
  <c r="N49" i="10"/>
  <c r="N53" i="10"/>
  <c r="N57" i="10"/>
  <c r="N61" i="10"/>
  <c r="N65" i="10"/>
  <c r="N69" i="10"/>
  <c r="N73" i="10"/>
  <c r="N77" i="10"/>
  <c r="N81" i="10"/>
  <c r="N85" i="10"/>
  <c r="N89" i="10"/>
  <c r="N93" i="10"/>
  <c r="N97" i="10"/>
  <c r="N101" i="10"/>
  <c r="N105" i="10"/>
  <c r="N18" i="10"/>
  <c r="N34" i="10"/>
  <c r="N50" i="10"/>
  <c r="N66" i="10"/>
  <c r="N82" i="10"/>
  <c r="N98" i="10"/>
  <c r="N110" i="10"/>
  <c r="N118" i="10"/>
  <c r="N126" i="10"/>
  <c r="N22" i="10"/>
  <c r="N38" i="10"/>
  <c r="N54" i="10"/>
  <c r="N70" i="10"/>
  <c r="N86" i="10"/>
  <c r="N102" i="10"/>
  <c r="N113" i="10"/>
  <c r="N121" i="10"/>
  <c r="N8" i="10"/>
  <c r="N10" i="10"/>
  <c r="N26" i="10"/>
  <c r="N42" i="10"/>
  <c r="N58" i="10"/>
  <c r="N74" i="10"/>
  <c r="N90" i="10"/>
  <c r="N106" i="10"/>
  <c r="N114" i="10"/>
  <c r="N122" i="10"/>
  <c r="N14" i="10"/>
  <c r="N30" i="10"/>
  <c r="N46" i="10"/>
  <c r="N62" i="10"/>
  <c r="N78" i="10"/>
  <c r="N94" i="10"/>
  <c r="N109" i="10"/>
  <c r="N117" i="10"/>
  <c r="N125" i="10"/>
  <c r="N127" i="8"/>
  <c r="N40" i="8"/>
  <c r="N72" i="8"/>
  <c r="N9" i="8"/>
  <c r="N25" i="8"/>
  <c r="N41" i="8"/>
  <c r="N57" i="8"/>
  <c r="N73" i="8"/>
  <c r="N89" i="8"/>
  <c r="N105" i="8"/>
  <c r="N121" i="8"/>
  <c r="N14" i="8"/>
  <c r="N30" i="8"/>
  <c r="N46" i="8"/>
  <c r="N62" i="8"/>
  <c r="N78" i="8"/>
  <c r="N94" i="8"/>
  <c r="N110" i="8"/>
  <c r="N126" i="8"/>
  <c r="N23" i="8"/>
  <c r="N39" i="8"/>
  <c r="N55" i="8"/>
  <c r="N71" i="8"/>
  <c r="N87" i="8"/>
  <c r="N124" i="8"/>
  <c r="N84" i="8"/>
  <c r="N20" i="8"/>
  <c r="N96" i="8"/>
  <c r="N32" i="8"/>
  <c r="N112" i="8"/>
  <c r="N60" i="8"/>
  <c r="N128" i="8"/>
  <c r="N103" i="8"/>
  <c r="N101" i="8"/>
  <c r="N10" i="8"/>
  <c r="N42" i="8"/>
  <c r="N74" i="8"/>
  <c r="N106" i="8"/>
  <c r="N19" i="8"/>
  <c r="N51" i="8"/>
  <c r="N83" i="8"/>
  <c r="N100" i="8"/>
  <c r="N107" i="8"/>
  <c r="N120" i="8"/>
  <c r="N12" i="8"/>
  <c r="N88" i="8"/>
  <c r="N111" i="8"/>
  <c r="N13" i="8"/>
  <c r="N29" i="8"/>
  <c r="N45" i="8"/>
  <c r="N61" i="8"/>
  <c r="N77" i="8"/>
  <c r="N93" i="8"/>
  <c r="N109" i="8"/>
  <c r="N125" i="8"/>
  <c r="N18" i="8"/>
  <c r="N34" i="8"/>
  <c r="N50" i="8"/>
  <c r="N66" i="8"/>
  <c r="N82" i="8"/>
  <c r="N98" i="8"/>
  <c r="N114" i="8"/>
  <c r="N11" i="8"/>
  <c r="N27" i="8"/>
  <c r="N43" i="8"/>
  <c r="N59" i="8"/>
  <c r="N75" i="8"/>
  <c r="N91" i="8"/>
  <c r="N116" i="8"/>
  <c r="N68" i="8"/>
  <c r="N123" i="8"/>
  <c r="N80" i="8"/>
  <c r="N16" i="8"/>
  <c r="N104" i="8"/>
  <c r="N44" i="8"/>
  <c r="N24" i="8"/>
  <c r="N56" i="8"/>
  <c r="N17" i="8"/>
  <c r="N33" i="8"/>
  <c r="N49" i="8"/>
  <c r="N65" i="8"/>
  <c r="N81" i="8"/>
  <c r="N97" i="8"/>
  <c r="N113" i="8"/>
  <c r="N8" i="8"/>
  <c r="N22" i="8"/>
  <c r="N38" i="8"/>
  <c r="N54" i="8"/>
  <c r="N70" i="8"/>
  <c r="N86" i="8"/>
  <c r="N102" i="8"/>
  <c r="N118" i="8"/>
  <c r="N15" i="8"/>
  <c r="N31" i="8"/>
  <c r="N47" i="8"/>
  <c r="N63" i="8"/>
  <c r="N79" i="8"/>
  <c r="N95" i="8"/>
  <c r="N108" i="8"/>
  <c r="N52" i="8"/>
  <c r="N115" i="8"/>
  <c r="N64" i="8"/>
  <c r="N92" i="8"/>
  <c r="N28" i="8"/>
  <c r="N119" i="8"/>
  <c r="N21" i="8"/>
  <c r="N37" i="8"/>
  <c r="N53" i="8"/>
  <c r="N69" i="8"/>
  <c r="N85" i="8"/>
  <c r="N117" i="8"/>
  <c r="N26" i="8"/>
  <c r="N58" i="8"/>
  <c r="N90" i="8"/>
  <c r="N122" i="8"/>
  <c r="N35" i="8"/>
  <c r="N67" i="8"/>
  <c r="N99" i="8"/>
  <c r="N36" i="8"/>
  <c r="N48" i="8"/>
  <c r="N76" i="8"/>
  <c r="AH46" i="8"/>
  <c r="AH86" i="8"/>
  <c r="AH66" i="8"/>
  <c r="AH107" i="8"/>
  <c r="AH27" i="8"/>
  <c r="C20" i="10"/>
  <c r="C24" i="8" l="1"/>
  <c r="C20" i="8"/>
  <c r="AH47" i="8"/>
  <c r="AH87" i="8"/>
  <c r="AH67" i="8"/>
  <c r="C37" i="10"/>
  <c r="C66" i="1"/>
  <c r="C29" i="10" s="1"/>
  <c r="C71" i="5"/>
  <c r="C30" i="8" s="1"/>
  <c r="W8" i="10" l="1"/>
  <c r="C24" i="10"/>
  <c r="C38" i="8"/>
  <c r="C21" i="8"/>
  <c r="C23" i="8"/>
  <c r="C22" i="8"/>
  <c r="D195" i="5"/>
  <c r="D193" i="5"/>
  <c r="D191" i="5"/>
  <c r="D189" i="5"/>
  <c r="D187" i="5"/>
  <c r="D185" i="5"/>
  <c r="D183" i="5"/>
  <c r="D181" i="5"/>
  <c r="D179" i="5"/>
  <c r="D177" i="5"/>
  <c r="D175" i="5"/>
  <c r="D173" i="5"/>
  <c r="D171" i="5"/>
  <c r="D169" i="5"/>
  <c r="D167" i="5"/>
  <c r="D165" i="5"/>
  <c r="D163" i="5"/>
  <c r="D161" i="5"/>
  <c r="D159" i="5"/>
  <c r="D157" i="5"/>
  <c r="D155" i="5"/>
  <c r="D153" i="5"/>
  <c r="D151" i="5"/>
  <c r="D149" i="5"/>
  <c r="D147" i="5"/>
  <c r="D145" i="5"/>
  <c r="D143" i="5"/>
  <c r="D141" i="5"/>
  <c r="D139" i="5"/>
  <c r="D137" i="5"/>
  <c r="D135" i="5"/>
  <c r="D133" i="5"/>
  <c r="D131" i="5"/>
  <c r="D129" i="5"/>
  <c r="D127" i="5"/>
  <c r="D125" i="5"/>
  <c r="D123" i="5"/>
  <c r="D121" i="5"/>
  <c r="D119" i="5"/>
  <c r="D117" i="5"/>
  <c r="D115" i="5"/>
  <c r="D113" i="5"/>
  <c r="D111" i="5"/>
  <c r="D109" i="5"/>
  <c r="D107" i="5"/>
  <c r="D105" i="5"/>
  <c r="D103" i="5"/>
  <c r="D101" i="5"/>
  <c r="D99" i="5"/>
  <c r="D97" i="5"/>
  <c r="D196" i="5"/>
  <c r="D194" i="5"/>
  <c r="D192" i="5"/>
  <c r="D190" i="5"/>
  <c r="D188" i="5"/>
  <c r="D186" i="5"/>
  <c r="D184" i="5"/>
  <c r="D182" i="5"/>
  <c r="D180" i="5"/>
  <c r="D178" i="5"/>
  <c r="D176" i="5"/>
  <c r="D174" i="5"/>
  <c r="D172" i="5"/>
  <c r="D170" i="5"/>
  <c r="D168" i="5"/>
  <c r="D166" i="5"/>
  <c r="D164" i="5"/>
  <c r="D162" i="5"/>
  <c r="D160" i="5"/>
  <c r="D158" i="5"/>
  <c r="D156" i="5"/>
  <c r="D154" i="5"/>
  <c r="D152" i="5"/>
  <c r="D150" i="5"/>
  <c r="D148" i="5"/>
  <c r="D146" i="5"/>
  <c r="D144" i="5"/>
  <c r="D142" i="5"/>
  <c r="D140" i="5"/>
  <c r="D138" i="5"/>
  <c r="D136" i="5"/>
  <c r="D134" i="5"/>
  <c r="D132" i="5"/>
  <c r="D130" i="5"/>
  <c r="D128" i="5"/>
  <c r="D126" i="5"/>
  <c r="D124" i="5"/>
  <c r="D122" i="5"/>
  <c r="D120" i="5"/>
  <c r="D118" i="5"/>
  <c r="D116" i="5"/>
  <c r="D114" i="5"/>
  <c r="D112" i="5"/>
  <c r="D110" i="5"/>
  <c r="D108" i="5"/>
  <c r="D106" i="5"/>
  <c r="D104" i="5"/>
  <c r="D102" i="5"/>
  <c r="D100" i="5"/>
  <c r="D98" i="5"/>
  <c r="D96" i="5"/>
  <c r="W12" i="8" l="1"/>
  <c r="G8" i="8"/>
  <c r="G24" i="8"/>
  <c r="G40" i="8"/>
  <c r="G56" i="8"/>
  <c r="G72" i="8"/>
  <c r="G88" i="8"/>
  <c r="G104" i="8"/>
  <c r="G120" i="8"/>
  <c r="G78" i="8"/>
  <c r="G114" i="8"/>
  <c r="G31" i="8"/>
  <c r="H31" i="8" s="1"/>
  <c r="G63" i="8"/>
  <c r="G95" i="8"/>
  <c r="G127" i="8"/>
  <c r="G21" i="8"/>
  <c r="H21" i="8" s="1"/>
  <c r="G37" i="8"/>
  <c r="G53" i="8"/>
  <c r="G69" i="8"/>
  <c r="G85" i="8"/>
  <c r="H85" i="8" s="1"/>
  <c r="L85" i="8" s="1"/>
  <c r="AD85" i="8" s="1"/>
  <c r="AE85" i="8" s="1"/>
  <c r="G101" i="8"/>
  <c r="G117" i="8"/>
  <c r="G18" i="8"/>
  <c r="G34" i="8"/>
  <c r="G50" i="8"/>
  <c r="G66" i="8"/>
  <c r="H66" i="8" s="1"/>
  <c r="G86" i="8"/>
  <c r="G118" i="8"/>
  <c r="G27" i="8"/>
  <c r="G59" i="8"/>
  <c r="G91" i="8"/>
  <c r="G123" i="8"/>
  <c r="G112" i="8"/>
  <c r="G15" i="8"/>
  <c r="G79" i="8"/>
  <c r="G29" i="8"/>
  <c r="G61" i="8"/>
  <c r="G93" i="8"/>
  <c r="G125" i="8"/>
  <c r="G42" i="8"/>
  <c r="G102" i="8"/>
  <c r="G43" i="8"/>
  <c r="G107" i="8"/>
  <c r="G36" i="8"/>
  <c r="G68" i="8"/>
  <c r="G100" i="8"/>
  <c r="G14" i="8"/>
  <c r="G23" i="8"/>
  <c r="G87" i="8"/>
  <c r="G17" i="8"/>
  <c r="G49" i="8"/>
  <c r="G81" i="8"/>
  <c r="G113" i="8"/>
  <c r="G30" i="8"/>
  <c r="G62" i="8"/>
  <c r="G110" i="8"/>
  <c r="G51" i="8"/>
  <c r="H51" i="8" s="1"/>
  <c r="L51" i="8" s="1"/>
  <c r="AD51" i="8" s="1"/>
  <c r="AE51" i="8" s="1"/>
  <c r="G115" i="8"/>
  <c r="G12" i="8"/>
  <c r="G28" i="8"/>
  <c r="G44" i="8"/>
  <c r="G60" i="8"/>
  <c r="G76" i="8"/>
  <c r="G92" i="8"/>
  <c r="G108" i="8"/>
  <c r="H108" i="8" s="1"/>
  <c r="L108" i="8" s="1"/>
  <c r="AD108" i="8" s="1"/>
  <c r="AE108" i="8" s="1"/>
  <c r="G124" i="8"/>
  <c r="G90" i="8"/>
  <c r="G122" i="8"/>
  <c r="G39" i="8"/>
  <c r="G71" i="8"/>
  <c r="G103" i="8"/>
  <c r="G9" i="8"/>
  <c r="G25" i="8"/>
  <c r="G41" i="8"/>
  <c r="G57" i="8"/>
  <c r="G73" i="8"/>
  <c r="G89" i="8"/>
  <c r="G105" i="8"/>
  <c r="G121" i="8"/>
  <c r="G22" i="8"/>
  <c r="G38" i="8"/>
  <c r="G54" i="8"/>
  <c r="G70" i="8"/>
  <c r="G94" i="8"/>
  <c r="G126" i="8"/>
  <c r="G35" i="8"/>
  <c r="H35" i="8" s="1"/>
  <c r="G67" i="8"/>
  <c r="G99" i="8"/>
  <c r="G16" i="8"/>
  <c r="G32" i="8"/>
  <c r="G48" i="8"/>
  <c r="G64" i="8"/>
  <c r="G80" i="8"/>
  <c r="G96" i="8"/>
  <c r="G128" i="8"/>
  <c r="G98" i="8"/>
  <c r="H98" i="8" s="1"/>
  <c r="L98" i="8" s="1"/>
  <c r="AD98" i="8" s="1"/>
  <c r="AE98" i="8" s="1"/>
  <c r="G47" i="8"/>
  <c r="G111" i="8"/>
  <c r="G13" i="8"/>
  <c r="G45" i="8"/>
  <c r="G77" i="8"/>
  <c r="G109" i="8"/>
  <c r="G26" i="8"/>
  <c r="G58" i="8"/>
  <c r="G74" i="8"/>
  <c r="G11" i="8"/>
  <c r="G75" i="8"/>
  <c r="G20" i="8"/>
  <c r="G52" i="8"/>
  <c r="G84" i="8"/>
  <c r="G116" i="8"/>
  <c r="G106" i="8"/>
  <c r="G55" i="8"/>
  <c r="H55" i="8" s="1"/>
  <c r="G119" i="8"/>
  <c r="G33" i="8"/>
  <c r="G65" i="8"/>
  <c r="G97" i="8"/>
  <c r="G10" i="8"/>
  <c r="G46" i="8"/>
  <c r="G82" i="8"/>
  <c r="G19" i="8"/>
  <c r="H19" i="8" s="1"/>
  <c r="L19" i="8" s="1"/>
  <c r="AD19" i="8" s="1"/>
  <c r="AE19" i="8" s="1"/>
  <c r="G83" i="8"/>
  <c r="W28" i="8"/>
  <c r="W73" i="8"/>
  <c r="W19" i="8"/>
  <c r="W10" i="8"/>
  <c r="W53" i="8"/>
  <c r="W106" i="8"/>
  <c r="W128" i="8"/>
  <c r="W111" i="8"/>
  <c r="W83" i="8"/>
  <c r="W74" i="8"/>
  <c r="W96" i="8"/>
  <c r="W93" i="8"/>
  <c r="W51" i="8"/>
  <c r="W42" i="8"/>
  <c r="W64" i="8"/>
  <c r="C23" i="10"/>
  <c r="C21" i="10"/>
  <c r="W97" i="8"/>
  <c r="W77" i="8"/>
  <c r="W57" i="8"/>
  <c r="W37" i="8"/>
  <c r="W79" i="8"/>
  <c r="W47" i="8"/>
  <c r="W15" i="8"/>
  <c r="W102" i="8"/>
  <c r="W70" i="8"/>
  <c r="W38" i="8"/>
  <c r="W33" i="8"/>
  <c r="W124" i="8"/>
  <c r="W92" i="8"/>
  <c r="W60" i="8"/>
  <c r="W24" i="8"/>
  <c r="W49" i="8"/>
  <c r="W123" i="8"/>
  <c r="W113" i="8"/>
  <c r="W99" i="8"/>
  <c r="W67" i="8"/>
  <c r="W35" i="8"/>
  <c r="W122" i="8"/>
  <c r="W90" i="8"/>
  <c r="W58" i="8"/>
  <c r="W26" i="8"/>
  <c r="W21" i="8"/>
  <c r="W112" i="8"/>
  <c r="W80" i="8"/>
  <c r="W48" i="8"/>
  <c r="W8" i="8"/>
  <c r="W125" i="8"/>
  <c r="W115" i="8"/>
  <c r="W101" i="8"/>
  <c r="W95" i="8"/>
  <c r="W63" i="8"/>
  <c r="W31" i="8"/>
  <c r="W118" i="8"/>
  <c r="W86" i="8"/>
  <c r="W54" i="8"/>
  <c r="W22" i="8"/>
  <c r="W17" i="8"/>
  <c r="W108" i="8"/>
  <c r="W76" i="8"/>
  <c r="W44" i="8"/>
  <c r="W127" i="8"/>
  <c r="W81" i="8"/>
  <c r="W117" i="8"/>
  <c r="W61" i="8"/>
  <c r="W105" i="8"/>
  <c r="W41" i="8"/>
  <c r="W85" i="8"/>
  <c r="W107" i="8"/>
  <c r="W91" i="8"/>
  <c r="W75" i="8"/>
  <c r="W59" i="8"/>
  <c r="W43" i="8"/>
  <c r="W27" i="8"/>
  <c r="W11" i="8"/>
  <c r="W114" i="8"/>
  <c r="W98" i="8"/>
  <c r="W82" i="8"/>
  <c r="W66" i="8"/>
  <c r="W50" i="8"/>
  <c r="W34" i="8"/>
  <c r="W18" i="8"/>
  <c r="W29" i="8"/>
  <c r="W13" i="8"/>
  <c r="W120" i="8"/>
  <c r="W104" i="8"/>
  <c r="W88" i="8"/>
  <c r="W72" i="8"/>
  <c r="W56" i="8"/>
  <c r="W40" i="8"/>
  <c r="W20" i="8"/>
  <c r="W119" i="8"/>
  <c r="W65" i="8"/>
  <c r="W109" i="8"/>
  <c r="W45" i="8"/>
  <c r="W89" i="8"/>
  <c r="W121" i="8"/>
  <c r="W69" i="8"/>
  <c r="W103" i="8"/>
  <c r="W87" i="8"/>
  <c r="W71" i="8"/>
  <c r="W55" i="8"/>
  <c r="W39" i="8"/>
  <c r="W23" i="8"/>
  <c r="W126" i="8"/>
  <c r="W110" i="8"/>
  <c r="W94" i="8"/>
  <c r="W78" i="8"/>
  <c r="W62" i="8"/>
  <c r="W46" i="8"/>
  <c r="W30" i="8"/>
  <c r="W14" i="8"/>
  <c r="W25" i="8"/>
  <c r="W9" i="8"/>
  <c r="W116" i="8"/>
  <c r="W100" i="8"/>
  <c r="W84" i="8"/>
  <c r="W68" i="8"/>
  <c r="W52" i="8"/>
  <c r="W36" i="8"/>
  <c r="W32" i="8"/>
  <c r="W16" i="8"/>
  <c r="C43" i="8"/>
  <c r="W127" i="10"/>
  <c r="W123" i="10"/>
  <c r="W119" i="10"/>
  <c r="W126" i="10"/>
  <c r="W122" i="10"/>
  <c r="W118" i="10"/>
  <c r="W117" i="10"/>
  <c r="W115" i="10"/>
  <c r="W114" i="10"/>
  <c r="W111" i="10"/>
  <c r="W113" i="10"/>
  <c r="W110" i="10"/>
  <c r="W125" i="10"/>
  <c r="W121" i="10"/>
  <c r="W109" i="10"/>
  <c r="W108" i="10"/>
  <c r="W112" i="10"/>
  <c r="W128" i="10"/>
  <c r="W124" i="10"/>
  <c r="W120" i="10"/>
  <c r="W116" i="10"/>
  <c r="W107" i="10"/>
  <c r="W103" i="10"/>
  <c r="W102" i="10"/>
  <c r="W98" i="10"/>
  <c r="W96" i="10"/>
  <c r="W94" i="10"/>
  <c r="W92" i="10"/>
  <c r="W105" i="10"/>
  <c r="W99" i="10"/>
  <c r="W97" i="10"/>
  <c r="W95" i="10"/>
  <c r="W93" i="10"/>
  <c r="W91" i="10"/>
  <c r="W89" i="10"/>
  <c r="W104" i="10"/>
  <c r="W100" i="10"/>
  <c r="W90" i="10"/>
  <c r="W86" i="10"/>
  <c r="W84" i="10"/>
  <c r="W87" i="10"/>
  <c r="W106" i="10"/>
  <c r="W80" i="10"/>
  <c r="W82" i="10"/>
  <c r="W79" i="10"/>
  <c r="W76" i="10"/>
  <c r="W74" i="10"/>
  <c r="W72" i="10"/>
  <c r="W70" i="10"/>
  <c r="W83" i="10"/>
  <c r="W73" i="10"/>
  <c r="W52" i="10"/>
  <c r="W48" i="10"/>
  <c r="W46" i="10"/>
  <c r="W44" i="10"/>
  <c r="W42" i="10"/>
  <c r="W101" i="10"/>
  <c r="W85" i="10"/>
  <c r="W75" i="10"/>
  <c r="W66" i="10"/>
  <c r="W64" i="10"/>
  <c r="W62" i="10"/>
  <c r="W60" i="10"/>
  <c r="W58" i="10"/>
  <c r="W56" i="10"/>
  <c r="W53" i="10"/>
  <c r="W50" i="10"/>
  <c r="W39" i="10"/>
  <c r="W78" i="10"/>
  <c r="W61" i="10"/>
  <c r="W34" i="10"/>
  <c r="W32" i="10"/>
  <c r="W30" i="10"/>
  <c r="W26" i="10"/>
  <c r="W24" i="10"/>
  <c r="W23" i="10"/>
  <c r="W22" i="10"/>
  <c r="W21" i="10"/>
  <c r="W20" i="10"/>
  <c r="W88" i="10"/>
  <c r="W81" i="10"/>
  <c r="W68" i="10"/>
  <c r="W65" i="10"/>
  <c r="W57" i="10"/>
  <c r="W45" i="10"/>
  <c r="W36" i="10"/>
  <c r="W33" i="10"/>
  <c r="W31" i="10"/>
  <c r="W29" i="10"/>
  <c r="W25" i="10"/>
  <c r="W71" i="10"/>
  <c r="W69" i="10"/>
  <c r="W63" i="10"/>
  <c r="W54" i="10"/>
  <c r="W51" i="10"/>
  <c r="W49" i="10"/>
  <c r="W40" i="10"/>
  <c r="W12" i="10"/>
  <c r="W55" i="10"/>
  <c r="W47" i="10"/>
  <c r="W28" i="10"/>
  <c r="W77" i="10"/>
  <c r="W67" i="10"/>
  <c r="W59" i="10"/>
  <c r="W37" i="10"/>
  <c r="W35" i="10"/>
  <c r="W19" i="10"/>
  <c r="W18" i="10"/>
  <c r="W17" i="10"/>
  <c r="W11" i="10"/>
  <c r="W41" i="10"/>
  <c r="W13" i="10"/>
  <c r="W15" i="10"/>
  <c r="W16" i="10"/>
  <c r="W43" i="10"/>
  <c r="W38" i="10"/>
  <c r="W14" i="10"/>
  <c r="W10" i="10"/>
  <c r="W9" i="10"/>
  <c r="W27" i="10"/>
  <c r="C41" i="8"/>
  <c r="C40" i="10"/>
  <c r="D88" i="1"/>
  <c r="C42" i="10" l="1"/>
  <c r="C174" i="1"/>
  <c r="C38" i="10"/>
  <c r="H40" i="8"/>
  <c r="K40" i="8" s="1"/>
  <c r="H13" i="8"/>
  <c r="J13" i="8" s="1"/>
  <c r="H48" i="8"/>
  <c r="J48" i="8" s="1"/>
  <c r="H90" i="8"/>
  <c r="J90" i="8" s="1"/>
  <c r="H22" i="8"/>
  <c r="L22" i="8" s="1"/>
  <c r="AD22" i="8" s="1"/>
  <c r="AE22" i="8" s="1"/>
  <c r="H121" i="8"/>
  <c r="L121" i="8" s="1"/>
  <c r="AD121" i="8" s="1"/>
  <c r="AE121" i="8" s="1"/>
  <c r="H9" i="8"/>
  <c r="L9" i="8" s="1"/>
  <c r="AD9" i="8" s="1"/>
  <c r="AE9" i="8" s="1"/>
  <c r="H119" i="8"/>
  <c r="J119" i="8" s="1"/>
  <c r="H109" i="8"/>
  <c r="L109" i="8" s="1"/>
  <c r="AD109" i="8" s="1"/>
  <c r="AE109" i="8" s="1"/>
  <c r="H53" i="8"/>
  <c r="L53" i="8" s="1"/>
  <c r="AD53" i="8" s="1"/>
  <c r="AE53" i="8" s="1"/>
  <c r="H45" i="8"/>
  <c r="J45" i="8" s="1"/>
  <c r="H76" i="8"/>
  <c r="L76" i="8" s="1"/>
  <c r="AD76" i="8" s="1"/>
  <c r="AE76" i="8" s="1"/>
  <c r="H125" i="8"/>
  <c r="L125" i="8" s="1"/>
  <c r="AD125" i="8" s="1"/>
  <c r="AE125" i="8" s="1"/>
  <c r="H91" i="8"/>
  <c r="I91" i="8" s="1"/>
  <c r="H88" i="8"/>
  <c r="L88" i="8" s="1"/>
  <c r="AD88" i="8" s="1"/>
  <c r="AE88" i="8" s="1"/>
  <c r="H73" i="8"/>
  <c r="J73" i="8" s="1"/>
  <c r="H110" i="8"/>
  <c r="J110" i="8" s="1"/>
  <c r="H126" i="8"/>
  <c r="J126" i="8" s="1"/>
  <c r="H25" i="8"/>
  <c r="J25" i="8" s="1"/>
  <c r="H87" i="8"/>
  <c r="L87" i="8" s="1"/>
  <c r="AD87" i="8" s="1"/>
  <c r="AE87" i="8" s="1"/>
  <c r="H101" i="8"/>
  <c r="L101" i="8" s="1"/>
  <c r="AD101" i="8" s="1"/>
  <c r="AE101" i="8" s="1"/>
  <c r="H14" i="8"/>
  <c r="J14" i="8" s="1"/>
  <c r="H30" i="8"/>
  <c r="L30" i="8" s="1"/>
  <c r="AD30" i="8" s="1"/>
  <c r="AE30" i="8" s="1"/>
  <c r="H41" i="8"/>
  <c r="J41" i="8" s="1"/>
  <c r="H8" i="8"/>
  <c r="L8" i="8" s="1"/>
  <c r="H26" i="8"/>
  <c r="L26" i="8" s="1"/>
  <c r="AD26" i="8" s="1"/>
  <c r="AE26" i="8" s="1"/>
  <c r="C22" i="10"/>
  <c r="G8" i="10" s="1"/>
  <c r="H39" i="8"/>
  <c r="J39" i="8" s="1"/>
  <c r="H61" i="8"/>
  <c r="L61" i="8" s="1"/>
  <c r="AD61" i="8" s="1"/>
  <c r="AE61" i="8" s="1"/>
  <c r="H32" i="8"/>
  <c r="L32" i="8" s="1"/>
  <c r="AD32" i="8" s="1"/>
  <c r="AE32" i="8" s="1"/>
  <c r="H112" i="8"/>
  <c r="J112" i="8" s="1"/>
  <c r="H84" i="8"/>
  <c r="L84" i="8" s="1"/>
  <c r="AD84" i="8" s="1"/>
  <c r="AE84" i="8" s="1"/>
  <c r="H102" i="8"/>
  <c r="L102" i="8" s="1"/>
  <c r="AD102" i="8" s="1"/>
  <c r="AE102" i="8" s="1"/>
  <c r="H17" i="8"/>
  <c r="J17" i="8" s="1"/>
  <c r="H120" i="8"/>
  <c r="L120" i="8" s="1"/>
  <c r="AD120" i="8" s="1"/>
  <c r="AE120" i="8" s="1"/>
  <c r="H62" i="8"/>
  <c r="L62" i="8" s="1"/>
  <c r="AD62" i="8" s="1"/>
  <c r="AE62" i="8" s="1"/>
  <c r="H33" i="8"/>
  <c r="J33" i="8" s="1"/>
  <c r="H104" i="8"/>
  <c r="K104" i="8" s="1"/>
  <c r="H117" i="8"/>
  <c r="L117" i="8" s="1"/>
  <c r="AD117" i="8" s="1"/>
  <c r="AE117" i="8" s="1"/>
  <c r="H43" i="8"/>
  <c r="L43" i="8" s="1"/>
  <c r="AD43" i="8" s="1"/>
  <c r="AE43" i="8" s="1"/>
  <c r="H52" i="8"/>
  <c r="J52" i="8" s="1"/>
  <c r="H10" i="8"/>
  <c r="L10" i="8" s="1"/>
  <c r="AD10" i="8" s="1"/>
  <c r="AE10" i="8" s="1"/>
  <c r="H12" i="8"/>
  <c r="L12" i="8" s="1"/>
  <c r="AD12" i="8" s="1"/>
  <c r="AE12" i="8" s="1"/>
  <c r="H58" i="8"/>
  <c r="L58" i="8" s="1"/>
  <c r="AD58" i="8" s="1"/>
  <c r="AE58" i="8" s="1"/>
  <c r="H79" i="8"/>
  <c r="L79" i="8" s="1"/>
  <c r="AD79" i="8" s="1"/>
  <c r="AE79" i="8" s="1"/>
  <c r="H86" i="8"/>
  <c r="L86" i="8" s="1"/>
  <c r="AD86" i="8" s="1"/>
  <c r="AE86" i="8" s="1"/>
  <c r="H27" i="8"/>
  <c r="I27" i="8" s="1"/>
  <c r="H114" i="8"/>
  <c r="L114" i="8" s="1"/>
  <c r="AD114" i="8" s="1"/>
  <c r="AE114" i="8" s="1"/>
  <c r="H28" i="8"/>
  <c r="I28" i="8" s="1"/>
  <c r="H75" i="8"/>
  <c r="J75" i="8" s="1"/>
  <c r="H113" i="8"/>
  <c r="J113" i="8" s="1"/>
  <c r="H95" i="8"/>
  <c r="L95" i="8" s="1"/>
  <c r="AD95" i="8" s="1"/>
  <c r="AE95" i="8" s="1"/>
  <c r="H80" i="8"/>
  <c r="I80" i="8" s="1"/>
  <c r="H18" i="8"/>
  <c r="I18" i="8" s="1"/>
  <c r="H68" i="8"/>
  <c r="L68" i="8" s="1"/>
  <c r="AD68" i="8" s="1"/>
  <c r="AE68" i="8" s="1"/>
  <c r="H63" i="8"/>
  <c r="J63" i="8" s="1"/>
  <c r="H23" i="8"/>
  <c r="L23" i="8" s="1"/>
  <c r="AD23" i="8" s="1"/>
  <c r="AE23" i="8" s="1"/>
  <c r="H97" i="8"/>
  <c r="L97" i="8" s="1"/>
  <c r="AD97" i="8" s="1"/>
  <c r="AE97" i="8" s="1"/>
  <c r="H107" i="8"/>
  <c r="J107" i="8" s="1"/>
  <c r="H94" i="8"/>
  <c r="I94" i="8" s="1"/>
  <c r="H50" i="8"/>
  <c r="L50" i="8" s="1"/>
  <c r="AD50" i="8" s="1"/>
  <c r="AE50" i="8" s="1"/>
  <c r="H115" i="8"/>
  <c r="L115" i="8" s="1"/>
  <c r="AD115" i="8" s="1"/>
  <c r="AE115" i="8" s="1"/>
  <c r="H57" i="8"/>
  <c r="J57" i="8" s="1"/>
  <c r="H47" i="8"/>
  <c r="L47" i="8" s="1"/>
  <c r="AD47" i="8" s="1"/>
  <c r="AE47" i="8" s="1"/>
  <c r="H36" i="8"/>
  <c r="L36" i="8" s="1"/>
  <c r="AD36" i="8" s="1"/>
  <c r="AE36" i="8" s="1"/>
  <c r="H49" i="8"/>
  <c r="J49" i="8" s="1"/>
  <c r="H116" i="8"/>
  <c r="I116" i="8" s="1"/>
  <c r="H34" i="8"/>
  <c r="H69" i="8"/>
  <c r="J69" i="8" s="1"/>
  <c r="H89" i="8"/>
  <c r="J89" i="8" s="1"/>
  <c r="H56" i="8"/>
  <c r="L56" i="8" s="1"/>
  <c r="AD56" i="8" s="1"/>
  <c r="AE56" i="8" s="1"/>
  <c r="H103" i="8"/>
  <c r="J103" i="8" s="1"/>
  <c r="H20" i="8"/>
  <c r="L20" i="8" s="1"/>
  <c r="AD20" i="8" s="1"/>
  <c r="AE20" i="8" s="1"/>
  <c r="H71" i="8"/>
  <c r="L71" i="8" s="1"/>
  <c r="AD71" i="8" s="1"/>
  <c r="AE71" i="8" s="1"/>
  <c r="H38" i="8"/>
  <c r="I38" i="8" s="1"/>
  <c r="H29" i="8"/>
  <c r="J29" i="8" s="1"/>
  <c r="H81" i="8"/>
  <c r="I81" i="8" s="1"/>
  <c r="H70" i="8"/>
  <c r="L70" i="8" s="1"/>
  <c r="AD70" i="8" s="1"/>
  <c r="AE70" i="8" s="1"/>
  <c r="H111" i="8"/>
  <c r="L111" i="8" s="1"/>
  <c r="AD111" i="8" s="1"/>
  <c r="AE111" i="8" s="1"/>
  <c r="H16" i="8"/>
  <c r="L16" i="8" s="1"/>
  <c r="AD16" i="8" s="1"/>
  <c r="AE16" i="8" s="1"/>
  <c r="H123" i="8"/>
  <c r="L123" i="8" s="1"/>
  <c r="AD123" i="8" s="1"/>
  <c r="AE123" i="8" s="1"/>
  <c r="H77" i="8"/>
  <c r="L77" i="8" s="1"/>
  <c r="AD77" i="8" s="1"/>
  <c r="AE77" i="8" s="1"/>
  <c r="H122" i="8"/>
  <c r="L122" i="8" s="1"/>
  <c r="AD122" i="8" s="1"/>
  <c r="AE122" i="8" s="1"/>
  <c r="H60" i="8"/>
  <c r="I60" i="8" s="1"/>
  <c r="H127" i="8"/>
  <c r="J127" i="8" s="1"/>
  <c r="H24" i="8"/>
  <c r="J24" i="8" s="1"/>
  <c r="H124" i="8"/>
  <c r="L124" i="8" s="1"/>
  <c r="AD124" i="8" s="1"/>
  <c r="AE124" i="8" s="1"/>
  <c r="H37" i="8"/>
  <c r="L37" i="8" s="1"/>
  <c r="AD37" i="8" s="1"/>
  <c r="AE37" i="8" s="1"/>
  <c r="H72" i="8"/>
  <c r="L72" i="8" s="1"/>
  <c r="AD72" i="8" s="1"/>
  <c r="AE72" i="8" s="1"/>
  <c r="H44" i="8"/>
  <c r="L44" i="8" s="1"/>
  <c r="AD44" i="8" s="1"/>
  <c r="AE44" i="8" s="1"/>
  <c r="H54" i="8"/>
  <c r="L54" i="8" s="1"/>
  <c r="AD54" i="8" s="1"/>
  <c r="AE54" i="8" s="1"/>
  <c r="H42" i="8"/>
  <c r="I42" i="8" s="1"/>
  <c r="H106" i="8"/>
  <c r="L106" i="8" s="1"/>
  <c r="AD106" i="8" s="1"/>
  <c r="AE106" i="8" s="1"/>
  <c r="H15" i="8"/>
  <c r="J15" i="8" s="1"/>
  <c r="H59" i="8"/>
  <c r="I59" i="8" s="1"/>
  <c r="H92" i="8"/>
  <c r="L92" i="8" s="1"/>
  <c r="AD92" i="8" s="1"/>
  <c r="AE92" i="8" s="1"/>
  <c r="H74" i="8"/>
  <c r="L74" i="8" s="1"/>
  <c r="AD74" i="8" s="1"/>
  <c r="AE74" i="8" s="1"/>
  <c r="H67" i="8"/>
  <c r="L67" i="8" s="1"/>
  <c r="AD67" i="8" s="1"/>
  <c r="AE67" i="8" s="1"/>
  <c r="H64" i="8"/>
  <c r="L64" i="8" s="1"/>
  <c r="AD64" i="8" s="1"/>
  <c r="AE64" i="8" s="1"/>
  <c r="H96" i="8"/>
  <c r="L96" i="8" s="1"/>
  <c r="AD96" i="8" s="1"/>
  <c r="AE96" i="8" s="1"/>
  <c r="H46" i="8"/>
  <c r="L46" i="8" s="1"/>
  <c r="AD46" i="8" s="1"/>
  <c r="AE46" i="8" s="1"/>
  <c r="H78" i="8"/>
  <c r="L78" i="8" s="1"/>
  <c r="AD78" i="8" s="1"/>
  <c r="AE78" i="8" s="1"/>
  <c r="H65" i="8"/>
  <c r="L65" i="8" s="1"/>
  <c r="AD65" i="8" s="1"/>
  <c r="AE65" i="8" s="1"/>
  <c r="H83" i="8"/>
  <c r="L83" i="8" s="1"/>
  <c r="AD83" i="8" s="1"/>
  <c r="AE83" i="8" s="1"/>
  <c r="H105" i="8"/>
  <c r="L105" i="8" s="1"/>
  <c r="AD105" i="8" s="1"/>
  <c r="AE105" i="8" s="1"/>
  <c r="H100" i="8"/>
  <c r="J100" i="8" s="1"/>
  <c r="Q100" i="8" s="1"/>
  <c r="R100" i="8" s="1"/>
  <c r="H82" i="8"/>
  <c r="J82" i="8" s="1"/>
  <c r="H99" i="8"/>
  <c r="J99" i="8" s="1"/>
  <c r="H128" i="8"/>
  <c r="L128" i="8" s="1"/>
  <c r="AD128" i="8" s="1"/>
  <c r="AE128" i="8" s="1"/>
  <c r="H11" i="8"/>
  <c r="J11" i="8" s="1"/>
  <c r="H118" i="8"/>
  <c r="L118" i="8" s="1"/>
  <c r="AD118" i="8" s="1"/>
  <c r="AE118" i="8" s="1"/>
  <c r="H93" i="8"/>
  <c r="L93" i="8" s="1"/>
  <c r="AD93" i="8" s="1"/>
  <c r="AE93" i="8" s="1"/>
  <c r="C39" i="8"/>
  <c r="J66" i="8"/>
  <c r="L66" i="8"/>
  <c r="AD66" i="8" s="1"/>
  <c r="AE66" i="8" s="1"/>
  <c r="I21" i="8"/>
  <c r="L21" i="8"/>
  <c r="AD21" i="8" s="1"/>
  <c r="AE21" i="8" s="1"/>
  <c r="J55" i="8"/>
  <c r="L55" i="8"/>
  <c r="AD55" i="8" s="1"/>
  <c r="AE55" i="8" s="1"/>
  <c r="J35" i="8"/>
  <c r="L35" i="8"/>
  <c r="AD35" i="8" s="1"/>
  <c r="AE35" i="8" s="1"/>
  <c r="J31" i="8"/>
  <c r="L31" i="8"/>
  <c r="AD31" i="8" s="1"/>
  <c r="AE31" i="8" s="1"/>
  <c r="J21" i="8"/>
  <c r="I35" i="8"/>
  <c r="I55" i="8"/>
  <c r="K98" i="8"/>
  <c r="K51" i="8"/>
  <c r="K85" i="8"/>
  <c r="K19" i="8"/>
  <c r="J51" i="8"/>
  <c r="J85" i="8"/>
  <c r="J19" i="8"/>
  <c r="C40" i="8"/>
  <c r="C96" i="5"/>
  <c r="K108" i="8"/>
  <c r="K66" i="8"/>
  <c r="K31" i="8"/>
  <c r="J108" i="8"/>
  <c r="J98" i="8"/>
  <c r="I108" i="8"/>
  <c r="K35" i="8"/>
  <c r="I66" i="8"/>
  <c r="I98" i="8"/>
  <c r="I51" i="8"/>
  <c r="K21" i="8"/>
  <c r="I31" i="8"/>
  <c r="K55" i="8"/>
  <c r="I85" i="8"/>
  <c r="I19" i="8"/>
  <c r="C41" i="10"/>
  <c r="D185" i="1"/>
  <c r="D181" i="1"/>
  <c r="D177" i="1"/>
  <c r="D173" i="1"/>
  <c r="D169" i="1"/>
  <c r="D165" i="1"/>
  <c r="D161" i="1"/>
  <c r="D157" i="1"/>
  <c r="D153" i="1"/>
  <c r="D149" i="1"/>
  <c r="D145" i="1"/>
  <c r="D141" i="1"/>
  <c r="D137" i="1"/>
  <c r="D133" i="1"/>
  <c r="D129" i="1"/>
  <c r="D125" i="1"/>
  <c r="D121" i="1"/>
  <c r="D117" i="1"/>
  <c r="D113" i="1"/>
  <c r="D109" i="1"/>
  <c r="D105" i="1"/>
  <c r="D101" i="1"/>
  <c r="D97" i="1"/>
  <c r="D93" i="1"/>
  <c r="D89" i="1"/>
  <c r="D186" i="1"/>
  <c r="D182" i="1"/>
  <c r="D178" i="1"/>
  <c r="D174" i="1"/>
  <c r="D170" i="1"/>
  <c r="D166" i="1"/>
  <c r="D162" i="1"/>
  <c r="D158" i="1"/>
  <c r="D154" i="1"/>
  <c r="D150" i="1"/>
  <c r="D146" i="1"/>
  <c r="D142" i="1"/>
  <c r="D138" i="1"/>
  <c r="D134" i="1"/>
  <c r="D130" i="1"/>
  <c r="D126" i="1"/>
  <c r="D122" i="1"/>
  <c r="D118" i="1"/>
  <c r="D114" i="1"/>
  <c r="D110" i="1"/>
  <c r="D106" i="1"/>
  <c r="D102" i="1"/>
  <c r="D98" i="1"/>
  <c r="D94" i="1"/>
  <c r="D90" i="1"/>
  <c r="D187" i="1"/>
  <c r="D183" i="1"/>
  <c r="D179" i="1"/>
  <c r="D175" i="1"/>
  <c r="D171" i="1"/>
  <c r="D167" i="1"/>
  <c r="D163" i="1"/>
  <c r="D159" i="1"/>
  <c r="D155" i="1"/>
  <c r="D151" i="1"/>
  <c r="D147" i="1"/>
  <c r="D143" i="1"/>
  <c r="D139" i="1"/>
  <c r="D135" i="1"/>
  <c r="D131" i="1"/>
  <c r="D127" i="1"/>
  <c r="D123" i="1"/>
  <c r="D119" i="1"/>
  <c r="D115" i="1"/>
  <c r="D111" i="1"/>
  <c r="D107" i="1"/>
  <c r="D103" i="1"/>
  <c r="D99" i="1"/>
  <c r="D95" i="1"/>
  <c r="D91" i="1"/>
  <c r="D188" i="1"/>
  <c r="D184" i="1"/>
  <c r="D180" i="1"/>
  <c r="D176" i="1"/>
  <c r="D172" i="1"/>
  <c r="D168" i="1"/>
  <c r="D164" i="1"/>
  <c r="D160" i="1"/>
  <c r="D156" i="1"/>
  <c r="D152" i="1"/>
  <c r="D148" i="1"/>
  <c r="D144" i="1"/>
  <c r="D140" i="1"/>
  <c r="D136" i="1"/>
  <c r="D132" i="1"/>
  <c r="D128" i="1"/>
  <c r="D124" i="1"/>
  <c r="D120" i="1"/>
  <c r="D116" i="1"/>
  <c r="D112" i="1"/>
  <c r="D108" i="1"/>
  <c r="D104" i="1"/>
  <c r="D100" i="1"/>
  <c r="D96" i="1"/>
  <c r="D92" i="1"/>
  <c r="C101" i="5"/>
  <c r="C109" i="5"/>
  <c r="C117" i="5"/>
  <c r="C125" i="5"/>
  <c r="C133" i="5"/>
  <c r="C141" i="5"/>
  <c r="C149" i="5"/>
  <c r="C157" i="5"/>
  <c r="C165" i="5"/>
  <c r="C173" i="5"/>
  <c r="C181" i="5"/>
  <c r="C189" i="5"/>
  <c r="C104" i="5"/>
  <c r="C112" i="5"/>
  <c r="C120" i="5"/>
  <c r="C128" i="5"/>
  <c r="C136" i="5"/>
  <c r="C144" i="5"/>
  <c r="C152" i="5"/>
  <c r="C160" i="5"/>
  <c r="C168" i="5"/>
  <c r="C176" i="5"/>
  <c r="C184" i="5"/>
  <c r="C192" i="5"/>
  <c r="C99" i="5"/>
  <c r="C107" i="5"/>
  <c r="C115" i="5"/>
  <c r="C123" i="5"/>
  <c r="C131" i="5"/>
  <c r="C139" i="5"/>
  <c r="C147" i="5"/>
  <c r="C155" i="5"/>
  <c r="C163" i="5"/>
  <c r="C171" i="5"/>
  <c r="C179" i="5"/>
  <c r="C187" i="5"/>
  <c r="C195" i="5"/>
  <c r="C102" i="5"/>
  <c r="C118" i="5"/>
  <c r="C134" i="5"/>
  <c r="C150" i="5"/>
  <c r="C166" i="5"/>
  <c r="C182" i="5"/>
  <c r="C97" i="5"/>
  <c r="C105" i="5"/>
  <c r="C113" i="5"/>
  <c r="C121" i="5"/>
  <c r="C129" i="5"/>
  <c r="C137" i="5"/>
  <c r="C145" i="5"/>
  <c r="C153" i="5"/>
  <c r="C161" i="5"/>
  <c r="C169" i="5"/>
  <c r="C177" i="5"/>
  <c r="C185" i="5"/>
  <c r="C193" i="5"/>
  <c r="C100" i="5"/>
  <c r="C108" i="5"/>
  <c r="C116" i="5"/>
  <c r="C124" i="5"/>
  <c r="C132" i="5"/>
  <c r="C140" i="5"/>
  <c r="C148" i="5"/>
  <c r="C156" i="5"/>
  <c r="C164" i="5"/>
  <c r="C172" i="5"/>
  <c r="C180" i="5"/>
  <c r="C188" i="5"/>
  <c r="C196" i="5"/>
  <c r="C103" i="5"/>
  <c r="C111" i="5"/>
  <c r="C119" i="5"/>
  <c r="C127" i="5"/>
  <c r="C135" i="5"/>
  <c r="C143" i="5"/>
  <c r="C151" i="5"/>
  <c r="C159" i="5"/>
  <c r="C167" i="5"/>
  <c r="C175" i="5"/>
  <c r="C183" i="5"/>
  <c r="C191" i="5"/>
  <c r="C98" i="5"/>
  <c r="C106" i="5"/>
  <c r="C114" i="5"/>
  <c r="C122" i="5"/>
  <c r="C130" i="5"/>
  <c r="C138" i="5"/>
  <c r="C146" i="5"/>
  <c r="C154" i="5"/>
  <c r="C162" i="5"/>
  <c r="C170" i="5"/>
  <c r="C178" i="5"/>
  <c r="C186" i="5"/>
  <c r="C194" i="5"/>
  <c r="C110" i="5"/>
  <c r="C126" i="5"/>
  <c r="C142" i="5"/>
  <c r="C158" i="5"/>
  <c r="C174" i="5"/>
  <c r="C190" i="5"/>
  <c r="X8" i="8" l="1"/>
  <c r="AA8" i="8" s="1"/>
  <c r="AD8" i="8"/>
  <c r="AE8" i="8" s="1"/>
  <c r="AF85" i="8"/>
  <c r="AG85" i="8" s="1"/>
  <c r="AF108" i="8"/>
  <c r="AG108" i="8" s="1"/>
  <c r="AF35" i="8"/>
  <c r="AG35" i="8" s="1"/>
  <c r="AF28" i="8"/>
  <c r="AG28" i="8" s="1"/>
  <c r="AF42" i="8"/>
  <c r="AG42" i="8" s="1"/>
  <c r="AF94" i="8"/>
  <c r="AG94" i="8" s="1"/>
  <c r="AF31" i="8"/>
  <c r="AG31" i="8" s="1"/>
  <c r="AF66" i="8"/>
  <c r="AG66" i="8" s="1"/>
  <c r="AF59" i="8"/>
  <c r="AG59" i="8" s="1"/>
  <c r="AF38" i="8"/>
  <c r="AG38" i="8" s="1"/>
  <c r="AF116" i="8"/>
  <c r="AG116" i="8" s="1"/>
  <c r="AF27" i="8"/>
  <c r="AG27" i="8" s="1"/>
  <c r="AF51" i="8"/>
  <c r="AG51" i="8" s="1"/>
  <c r="AF81" i="8"/>
  <c r="AG81" i="8" s="1"/>
  <c r="AF80" i="8"/>
  <c r="AG80" i="8" s="1"/>
  <c r="AF98" i="8"/>
  <c r="AG98" i="8" s="1"/>
  <c r="AF21" i="8"/>
  <c r="AG21" i="8" s="1"/>
  <c r="AF60" i="8"/>
  <c r="AG60" i="8" s="1"/>
  <c r="AF19" i="8"/>
  <c r="AG19" i="8" s="1"/>
  <c r="AF55" i="8"/>
  <c r="AG55" i="8" s="1"/>
  <c r="AF18" i="8"/>
  <c r="AG18" i="8" s="1"/>
  <c r="AF91" i="8"/>
  <c r="AG91" i="8" s="1"/>
  <c r="I48" i="8"/>
  <c r="O48" i="8" s="1"/>
  <c r="L13" i="8"/>
  <c r="AD13" i="8" s="1"/>
  <c r="AE13" i="8" s="1"/>
  <c r="I53" i="8"/>
  <c r="I13" i="8"/>
  <c r="L91" i="8"/>
  <c r="AD91" i="8" s="1"/>
  <c r="AE91" i="8" s="1"/>
  <c r="J91" i="8"/>
  <c r="S91" i="8" s="1"/>
  <c r="T91" i="8" s="1"/>
  <c r="K13" i="8"/>
  <c r="U13" i="8" s="1"/>
  <c r="V13" i="8" s="1"/>
  <c r="L14" i="8"/>
  <c r="AD14" i="8" s="1"/>
  <c r="AE14" i="8" s="1"/>
  <c r="K91" i="8"/>
  <c r="U91" i="8" s="1"/>
  <c r="V91" i="8" s="1"/>
  <c r="I110" i="8"/>
  <c r="J101" i="8"/>
  <c r="Q101" i="8" s="1"/>
  <c r="R101" i="8" s="1"/>
  <c r="K41" i="8"/>
  <c r="U41" i="8" s="1"/>
  <c r="V41" i="8" s="1"/>
  <c r="I40" i="8"/>
  <c r="K101" i="8"/>
  <c r="U101" i="8" s="1"/>
  <c r="V101" i="8" s="1"/>
  <c r="J22" i="8"/>
  <c r="Q22" i="8" s="1"/>
  <c r="R22" i="8" s="1"/>
  <c r="K110" i="8"/>
  <c r="U110" i="8" s="1"/>
  <c r="V110" i="8" s="1"/>
  <c r="I109" i="8"/>
  <c r="K125" i="8"/>
  <c r="U125" i="8" s="1"/>
  <c r="V125" i="8" s="1"/>
  <c r="J109" i="8"/>
  <c r="Q109" i="8" s="1"/>
  <c r="R109" i="8" s="1"/>
  <c r="J40" i="8"/>
  <c r="S40" i="8" s="1"/>
  <c r="T40" i="8" s="1"/>
  <c r="J125" i="8"/>
  <c r="Q125" i="8" s="1"/>
  <c r="R125" i="8" s="1"/>
  <c r="L40" i="8"/>
  <c r="AD40" i="8" s="1"/>
  <c r="AE40" i="8" s="1"/>
  <c r="I101" i="8"/>
  <c r="K109" i="8"/>
  <c r="U109" i="8" s="1"/>
  <c r="V109" i="8" s="1"/>
  <c r="L110" i="8"/>
  <c r="AD110" i="8" s="1"/>
  <c r="AE110" i="8" s="1"/>
  <c r="L90" i="8"/>
  <c r="AD90" i="8" s="1"/>
  <c r="AE90" i="8" s="1"/>
  <c r="C121" i="1"/>
  <c r="C146" i="1"/>
  <c r="C116" i="1"/>
  <c r="C170" i="1"/>
  <c r="C97" i="1"/>
  <c r="C92" i="1"/>
  <c r="C96" i="1"/>
  <c r="C117" i="1"/>
  <c r="C126" i="1"/>
  <c r="C141" i="1"/>
  <c r="C150" i="1"/>
  <c r="C171" i="1"/>
  <c r="C151" i="1"/>
  <c r="C106" i="1"/>
  <c r="C160" i="1"/>
  <c r="C127" i="1"/>
  <c r="C181" i="1"/>
  <c r="C136" i="1"/>
  <c r="C95" i="1"/>
  <c r="C180" i="1"/>
  <c r="C131" i="1"/>
  <c r="C185" i="1"/>
  <c r="C156" i="1"/>
  <c r="C107" i="1"/>
  <c r="C161" i="1"/>
  <c r="C103" i="1"/>
  <c r="C132" i="1"/>
  <c r="C157" i="1"/>
  <c r="C186" i="1"/>
  <c r="C112" i="1"/>
  <c r="C137" i="1"/>
  <c r="C166" i="1"/>
  <c r="C143" i="1"/>
  <c r="C172" i="1"/>
  <c r="C98" i="1"/>
  <c r="C162" i="1"/>
  <c r="C187" i="1"/>
  <c r="C152" i="1"/>
  <c r="C113" i="1"/>
  <c r="C177" i="1"/>
  <c r="C142" i="1"/>
  <c r="C119" i="1"/>
  <c r="C183" i="1"/>
  <c r="C148" i="1"/>
  <c r="C109" i="1"/>
  <c r="C173" i="1"/>
  <c r="C138" i="1"/>
  <c r="C99" i="1"/>
  <c r="C163" i="1"/>
  <c r="C128" i="1"/>
  <c r="C89" i="1"/>
  <c r="C153" i="1"/>
  <c r="C118" i="1"/>
  <c r="C182" i="1"/>
  <c r="C159" i="1"/>
  <c r="C124" i="1"/>
  <c r="C188" i="1"/>
  <c r="C149" i="1"/>
  <c r="C114" i="1"/>
  <c r="C178" i="1"/>
  <c r="C139" i="1"/>
  <c r="C104" i="1"/>
  <c r="C168" i="1"/>
  <c r="C129" i="1"/>
  <c r="C94" i="1"/>
  <c r="C158" i="1"/>
  <c r="C167" i="1"/>
  <c r="C93" i="1"/>
  <c r="C122" i="1"/>
  <c r="C147" i="1"/>
  <c r="C176" i="1"/>
  <c r="C102" i="1"/>
  <c r="C108" i="1"/>
  <c r="C133" i="1"/>
  <c r="C123" i="1"/>
  <c r="C39" i="10"/>
  <c r="X61" i="10" s="1"/>
  <c r="Z61" i="10" s="1"/>
  <c r="C135" i="1"/>
  <c r="C100" i="1"/>
  <c r="C164" i="1"/>
  <c r="C125" i="1"/>
  <c r="C90" i="1"/>
  <c r="C154" i="1"/>
  <c r="C115" i="1"/>
  <c r="C179" i="1"/>
  <c r="C144" i="1"/>
  <c r="C105" i="1"/>
  <c r="C169" i="1"/>
  <c r="C134" i="1"/>
  <c r="C111" i="1"/>
  <c r="C175" i="1"/>
  <c r="C140" i="1"/>
  <c r="C101" i="1"/>
  <c r="C165" i="1"/>
  <c r="C130" i="1"/>
  <c r="C91" i="1"/>
  <c r="C155" i="1"/>
  <c r="C120" i="1"/>
  <c r="C184" i="1"/>
  <c r="C145" i="1"/>
  <c r="C110" i="1"/>
  <c r="I25" i="8"/>
  <c r="K76" i="8"/>
  <c r="U76" i="8" s="1"/>
  <c r="V76" i="8" s="1"/>
  <c r="I45" i="8"/>
  <c r="I90" i="8"/>
  <c r="I73" i="8"/>
  <c r="J121" i="8"/>
  <c r="S121" i="8" s="1"/>
  <c r="T121" i="8" s="1"/>
  <c r="K121" i="8"/>
  <c r="U121" i="8" s="1"/>
  <c r="V121" i="8" s="1"/>
  <c r="K26" i="8"/>
  <c r="U26" i="8" s="1"/>
  <c r="V26" i="8" s="1"/>
  <c r="I121" i="8"/>
  <c r="J53" i="8"/>
  <c r="S53" i="8" s="1"/>
  <c r="T53" i="8" s="1"/>
  <c r="L73" i="8"/>
  <c r="AD73" i="8" s="1"/>
  <c r="AE73" i="8" s="1"/>
  <c r="K119" i="8"/>
  <c r="U119" i="8" s="1"/>
  <c r="V119" i="8" s="1"/>
  <c r="J76" i="8"/>
  <c r="Q76" i="8" s="1"/>
  <c r="R76" i="8" s="1"/>
  <c r="I9" i="8"/>
  <c r="J9" i="8"/>
  <c r="Q9" i="8" s="1"/>
  <c r="R9" i="8" s="1"/>
  <c r="K73" i="8"/>
  <c r="U73" i="8" s="1"/>
  <c r="V73" i="8" s="1"/>
  <c r="K90" i="8"/>
  <c r="U90" i="8" s="1"/>
  <c r="V90" i="8" s="1"/>
  <c r="L25" i="8"/>
  <c r="AD25" i="8" s="1"/>
  <c r="AE25" i="8" s="1"/>
  <c r="L45" i="8"/>
  <c r="AD45" i="8" s="1"/>
  <c r="AE45" i="8" s="1"/>
  <c r="L119" i="8"/>
  <c r="AD119" i="8" s="1"/>
  <c r="AE119" i="8" s="1"/>
  <c r="L41" i="8"/>
  <c r="AD41" i="8" s="1"/>
  <c r="AE41" i="8" s="1"/>
  <c r="I87" i="8"/>
  <c r="I41" i="8"/>
  <c r="AF41" i="8" s="1"/>
  <c r="K45" i="8"/>
  <c r="U45" i="8" s="1"/>
  <c r="V45" i="8" s="1"/>
  <c r="I88" i="8"/>
  <c r="I76" i="8"/>
  <c r="K25" i="8"/>
  <c r="U25" i="8" s="1"/>
  <c r="V25" i="8" s="1"/>
  <c r="K9" i="8"/>
  <c r="U9" i="8" s="1"/>
  <c r="V9" i="8" s="1"/>
  <c r="K88" i="8"/>
  <c r="U88" i="8" s="1"/>
  <c r="V88" i="8" s="1"/>
  <c r="I119" i="8"/>
  <c r="K126" i="8"/>
  <c r="U126" i="8" s="1"/>
  <c r="V126" i="8" s="1"/>
  <c r="K14" i="8"/>
  <c r="U14" i="8" s="1"/>
  <c r="V14" i="8" s="1"/>
  <c r="I22" i="8"/>
  <c r="K48" i="8"/>
  <c r="U48" i="8" s="1"/>
  <c r="V48" i="8" s="1"/>
  <c r="J88" i="8"/>
  <c r="S88" i="8" s="1"/>
  <c r="T88" i="8" s="1"/>
  <c r="K87" i="8"/>
  <c r="U87" i="8" s="1"/>
  <c r="V87" i="8" s="1"/>
  <c r="I126" i="8"/>
  <c r="AF126" i="8" s="1"/>
  <c r="I125" i="8"/>
  <c r="I14" i="8"/>
  <c r="I8" i="8"/>
  <c r="AF8" i="8" s="1"/>
  <c r="K22" i="8"/>
  <c r="U22" i="8" s="1"/>
  <c r="V22" i="8" s="1"/>
  <c r="K97" i="8"/>
  <c r="U97" i="8" s="1"/>
  <c r="V97" i="8" s="1"/>
  <c r="K8" i="8"/>
  <c r="K53" i="8"/>
  <c r="U53" i="8" s="1"/>
  <c r="V53" i="8" s="1"/>
  <c r="L126" i="8"/>
  <c r="AD126" i="8" s="1"/>
  <c r="AE126" i="8" s="1"/>
  <c r="L48" i="8"/>
  <c r="AD48" i="8" s="1"/>
  <c r="AE48" i="8" s="1"/>
  <c r="J61" i="8"/>
  <c r="Q61" i="8" s="1"/>
  <c r="R61" i="8" s="1"/>
  <c r="J87" i="8"/>
  <c r="S87" i="8" s="1"/>
  <c r="T87" i="8" s="1"/>
  <c r="I30" i="8"/>
  <c r="J8" i="8"/>
  <c r="Q8" i="8" s="1"/>
  <c r="R8" i="8" s="1"/>
  <c r="J79" i="8"/>
  <c r="Q79" i="8" s="1"/>
  <c r="R79" i="8" s="1"/>
  <c r="J30" i="8"/>
  <c r="Q30" i="8" s="1"/>
  <c r="R30" i="8" s="1"/>
  <c r="K30" i="8"/>
  <c r="U30" i="8" s="1"/>
  <c r="V30" i="8" s="1"/>
  <c r="K52" i="8"/>
  <c r="U52" i="8" s="1"/>
  <c r="V52" i="8" s="1"/>
  <c r="I112" i="8"/>
  <c r="L39" i="8"/>
  <c r="AD39" i="8" s="1"/>
  <c r="AE39" i="8" s="1"/>
  <c r="K112" i="8"/>
  <c r="U112" i="8" s="1"/>
  <c r="V112" i="8" s="1"/>
  <c r="J26" i="8"/>
  <c r="S26" i="8" s="1"/>
  <c r="T26" i="8" s="1"/>
  <c r="J94" i="8"/>
  <c r="S94" i="8" s="1"/>
  <c r="T94" i="8" s="1"/>
  <c r="I107" i="8"/>
  <c r="AF107" i="8" s="1"/>
  <c r="I26" i="8"/>
  <c r="AF26" i="8" s="1"/>
  <c r="K107" i="8"/>
  <c r="U107" i="8" s="1"/>
  <c r="V107" i="8" s="1"/>
  <c r="I17" i="8"/>
  <c r="AF17" i="8" s="1"/>
  <c r="L112" i="8"/>
  <c r="AD112" i="8" s="1"/>
  <c r="AE112" i="8" s="1"/>
  <c r="L17" i="8"/>
  <c r="AD17" i="8" s="1"/>
  <c r="AE17" i="8" s="1"/>
  <c r="K89" i="8"/>
  <c r="U89" i="8" s="1"/>
  <c r="V89" i="8" s="1"/>
  <c r="I117" i="8"/>
  <c r="AF117" i="8" s="1"/>
  <c r="K39" i="8"/>
  <c r="U39" i="8" s="1"/>
  <c r="V39" i="8" s="1"/>
  <c r="I97" i="8"/>
  <c r="AF97" i="8" s="1"/>
  <c r="J68" i="8"/>
  <c r="Q68" i="8" s="1"/>
  <c r="R68" i="8" s="1"/>
  <c r="I61" i="8"/>
  <c r="AF61" i="8" s="1"/>
  <c r="K61" i="8"/>
  <c r="U61" i="8" s="1"/>
  <c r="V61" i="8" s="1"/>
  <c r="J104" i="8"/>
  <c r="S104" i="8" s="1"/>
  <c r="T104" i="8" s="1"/>
  <c r="I10" i="8"/>
  <c r="AF10" i="8" s="1"/>
  <c r="J42" i="8"/>
  <c r="Q42" i="8" s="1"/>
  <c r="R42" i="8" s="1"/>
  <c r="J62" i="8"/>
  <c r="Q62" i="8" s="1"/>
  <c r="R62" i="8" s="1"/>
  <c r="K95" i="8"/>
  <c r="U95" i="8" s="1"/>
  <c r="V95" i="8" s="1"/>
  <c r="I120" i="8"/>
  <c r="AF120" i="8" s="1"/>
  <c r="J32" i="8"/>
  <c r="Q32" i="8" s="1"/>
  <c r="R32" i="8" s="1"/>
  <c r="K84" i="8"/>
  <c r="U84" i="8" s="1"/>
  <c r="V84" i="8" s="1"/>
  <c r="J86" i="8"/>
  <c r="Q86" i="8" s="1"/>
  <c r="R86" i="8" s="1"/>
  <c r="I39" i="8"/>
  <c r="AF39" i="8" s="1"/>
  <c r="L113" i="8"/>
  <c r="AD113" i="8" s="1"/>
  <c r="AE113" i="8" s="1"/>
  <c r="L81" i="8"/>
  <c r="AD81" i="8" s="1"/>
  <c r="AE81" i="8" s="1"/>
  <c r="G10" i="10"/>
  <c r="G14" i="10"/>
  <c r="G18" i="10"/>
  <c r="G22" i="10"/>
  <c r="G26" i="10"/>
  <c r="G30" i="10"/>
  <c r="G34" i="10"/>
  <c r="G38" i="10"/>
  <c r="G42" i="10"/>
  <c r="G46" i="10"/>
  <c r="G50" i="10"/>
  <c r="G54" i="10"/>
  <c r="G58" i="10"/>
  <c r="G62" i="10"/>
  <c r="G66" i="10"/>
  <c r="G70" i="10"/>
  <c r="G74" i="10"/>
  <c r="G78" i="10"/>
  <c r="G82" i="10"/>
  <c r="G86" i="10"/>
  <c r="G90" i="10"/>
  <c r="G94" i="10"/>
  <c r="G98" i="10"/>
  <c r="G102" i="10"/>
  <c r="G106" i="10"/>
  <c r="G110" i="10"/>
  <c r="G114" i="10"/>
  <c r="G118" i="10"/>
  <c r="G122" i="10"/>
  <c r="G126" i="10"/>
  <c r="G112" i="10"/>
  <c r="G9" i="10"/>
  <c r="G49" i="10"/>
  <c r="G61" i="10"/>
  <c r="G69" i="10"/>
  <c r="G77" i="10"/>
  <c r="G85" i="10"/>
  <c r="G93" i="10"/>
  <c r="G101" i="10"/>
  <c r="G109" i="10"/>
  <c r="G117" i="10"/>
  <c r="G125" i="10"/>
  <c r="G11" i="10"/>
  <c r="G15" i="10"/>
  <c r="G19" i="10"/>
  <c r="G23" i="10"/>
  <c r="G27" i="10"/>
  <c r="G31" i="10"/>
  <c r="G35" i="10"/>
  <c r="G39" i="10"/>
  <c r="G43" i="10"/>
  <c r="G47" i="10"/>
  <c r="G51" i="10"/>
  <c r="G55" i="10"/>
  <c r="G59" i="10"/>
  <c r="G63" i="10"/>
  <c r="G67" i="10"/>
  <c r="G71" i="10"/>
  <c r="G75" i="10"/>
  <c r="G79" i="10"/>
  <c r="G83" i="10"/>
  <c r="G87" i="10"/>
  <c r="G91" i="10"/>
  <c r="G95" i="10"/>
  <c r="G99" i="10"/>
  <c r="G103" i="10"/>
  <c r="G107" i="10"/>
  <c r="G111" i="10"/>
  <c r="G115" i="10"/>
  <c r="G119" i="10"/>
  <c r="G123" i="10"/>
  <c r="G127" i="10"/>
  <c r="G12" i="10"/>
  <c r="G16" i="10"/>
  <c r="G20" i="10"/>
  <c r="G24" i="10"/>
  <c r="G28" i="10"/>
  <c r="G32" i="10"/>
  <c r="G36" i="10"/>
  <c r="G40" i="10"/>
  <c r="G44" i="10"/>
  <c r="G48" i="10"/>
  <c r="G52" i="10"/>
  <c r="G56" i="10"/>
  <c r="G60" i="10"/>
  <c r="G64" i="10"/>
  <c r="G68" i="10"/>
  <c r="G72" i="10"/>
  <c r="G76" i="10"/>
  <c r="G80" i="10"/>
  <c r="G84" i="10"/>
  <c r="G88" i="10"/>
  <c r="G92" i="10"/>
  <c r="G96" i="10"/>
  <c r="G100" i="10"/>
  <c r="G104" i="10"/>
  <c r="G108" i="10"/>
  <c r="G116" i="10"/>
  <c r="G120" i="10"/>
  <c r="G124" i="10"/>
  <c r="G128" i="10"/>
  <c r="G13" i="10"/>
  <c r="G17" i="10"/>
  <c r="G21" i="10"/>
  <c r="G25" i="10"/>
  <c r="G29" i="10"/>
  <c r="G33" i="10"/>
  <c r="G37" i="10"/>
  <c r="G41" i="10"/>
  <c r="G45" i="10"/>
  <c r="G53" i="10"/>
  <c r="G57" i="10"/>
  <c r="G65" i="10"/>
  <c r="G73" i="10"/>
  <c r="G81" i="10"/>
  <c r="G89" i="10"/>
  <c r="G97" i="10"/>
  <c r="G105" i="10"/>
  <c r="G113" i="10"/>
  <c r="G121" i="10"/>
  <c r="J102" i="8"/>
  <c r="S102" i="8" s="1"/>
  <c r="T102" i="8" s="1"/>
  <c r="J43" i="8"/>
  <c r="S43" i="8" s="1"/>
  <c r="T43" i="8" s="1"/>
  <c r="K43" i="8"/>
  <c r="U43" i="8" s="1"/>
  <c r="V43" i="8" s="1"/>
  <c r="K116" i="8"/>
  <c r="U116" i="8" s="1"/>
  <c r="V116" i="8" s="1"/>
  <c r="I43" i="8"/>
  <c r="AF43" i="8" s="1"/>
  <c r="K28" i="8"/>
  <c r="U28" i="8" s="1"/>
  <c r="V28" i="8" s="1"/>
  <c r="K102" i="8"/>
  <c r="U102" i="8" s="1"/>
  <c r="V102" i="8" s="1"/>
  <c r="K86" i="8"/>
  <c r="U86" i="8" s="1"/>
  <c r="V86" i="8" s="1"/>
  <c r="J64" i="8"/>
  <c r="Q64" i="8" s="1"/>
  <c r="R64" i="8" s="1"/>
  <c r="I86" i="8"/>
  <c r="AF86" i="8" s="1"/>
  <c r="J28" i="8"/>
  <c r="Q28" i="8" s="1"/>
  <c r="R28" i="8" s="1"/>
  <c r="J117" i="8"/>
  <c r="Q117" i="8" s="1"/>
  <c r="R117" i="8" s="1"/>
  <c r="L116" i="8"/>
  <c r="AD116" i="8" s="1"/>
  <c r="AE116" i="8" s="1"/>
  <c r="J84" i="8"/>
  <c r="S84" i="8" s="1"/>
  <c r="T84" i="8" s="1"/>
  <c r="I102" i="8"/>
  <c r="AF102" i="8" s="1"/>
  <c r="J95" i="8"/>
  <c r="S95" i="8" s="1"/>
  <c r="T95" i="8" s="1"/>
  <c r="K18" i="8"/>
  <c r="U18" i="8" s="1"/>
  <c r="V18" i="8" s="1"/>
  <c r="K115" i="8"/>
  <c r="U115" i="8" s="1"/>
  <c r="V115" i="8" s="1"/>
  <c r="J18" i="8"/>
  <c r="Q18" i="8" s="1"/>
  <c r="R18" i="8" s="1"/>
  <c r="L34" i="8"/>
  <c r="AD34" i="8" s="1"/>
  <c r="AE34" i="8" s="1"/>
  <c r="J34" i="8"/>
  <c r="S34" i="8" s="1"/>
  <c r="T34" i="8" s="1"/>
  <c r="J38" i="8"/>
  <c r="S38" i="8" s="1"/>
  <c r="T38" i="8" s="1"/>
  <c r="I84" i="8"/>
  <c r="I58" i="8"/>
  <c r="AF58" i="8" s="1"/>
  <c r="K120" i="8"/>
  <c r="U120" i="8" s="1"/>
  <c r="V120" i="8" s="1"/>
  <c r="K71" i="8"/>
  <c r="U71" i="8" s="1"/>
  <c r="V71" i="8" s="1"/>
  <c r="I49" i="8"/>
  <c r="L49" i="8"/>
  <c r="AD49" i="8" s="1"/>
  <c r="AE49" i="8" s="1"/>
  <c r="L52" i="8"/>
  <c r="AD52" i="8" s="1"/>
  <c r="AE52" i="8" s="1"/>
  <c r="I54" i="8"/>
  <c r="I32" i="8"/>
  <c r="I47" i="8"/>
  <c r="AF47" i="8" s="1"/>
  <c r="K117" i="8"/>
  <c r="U117" i="8" s="1"/>
  <c r="V117" i="8" s="1"/>
  <c r="J120" i="8"/>
  <c r="S120" i="8" s="1"/>
  <c r="T120" i="8" s="1"/>
  <c r="K113" i="8"/>
  <c r="U113" i="8" s="1"/>
  <c r="V113" i="8" s="1"/>
  <c r="K12" i="8"/>
  <c r="U12" i="8" s="1"/>
  <c r="V12" i="8" s="1"/>
  <c r="K32" i="8"/>
  <c r="U32" i="8" s="1"/>
  <c r="V32" i="8" s="1"/>
  <c r="J23" i="8"/>
  <c r="Q23" i="8" s="1"/>
  <c r="R23" i="8" s="1"/>
  <c r="L33" i="8"/>
  <c r="AD33" i="8" s="1"/>
  <c r="AE33" i="8" s="1"/>
  <c r="J97" i="8"/>
  <c r="Q97" i="8" s="1"/>
  <c r="R97" i="8" s="1"/>
  <c r="K17" i="8"/>
  <c r="U17" i="8" s="1"/>
  <c r="V17" i="8" s="1"/>
  <c r="I52" i="8"/>
  <c r="AF52" i="8" s="1"/>
  <c r="K62" i="8"/>
  <c r="U62" i="8" s="1"/>
  <c r="V62" i="8" s="1"/>
  <c r="K69" i="8"/>
  <c r="U69" i="8" s="1"/>
  <c r="V69" i="8" s="1"/>
  <c r="K63" i="8"/>
  <c r="U63" i="8" s="1"/>
  <c r="V63" i="8" s="1"/>
  <c r="K75" i="8"/>
  <c r="U75" i="8" s="1"/>
  <c r="V75" i="8" s="1"/>
  <c r="K58" i="8"/>
  <c r="U58" i="8" s="1"/>
  <c r="V58" i="8" s="1"/>
  <c r="J50" i="8"/>
  <c r="Q50" i="8" s="1"/>
  <c r="R50" i="8" s="1"/>
  <c r="I62" i="8"/>
  <c r="I79" i="8"/>
  <c r="AF79" i="8" s="1"/>
  <c r="I104" i="8"/>
  <c r="AF104" i="8" s="1"/>
  <c r="J16" i="8"/>
  <c r="Q16" i="8" s="1"/>
  <c r="R16" i="8" s="1"/>
  <c r="L80" i="8"/>
  <c r="AD80" i="8" s="1"/>
  <c r="AE80" i="8" s="1"/>
  <c r="L75" i="8"/>
  <c r="AD75" i="8" s="1"/>
  <c r="AE75" i="8" s="1"/>
  <c r="I63" i="8"/>
  <c r="AF63" i="8" s="1"/>
  <c r="K10" i="8"/>
  <c r="U10" i="8" s="1"/>
  <c r="V10" i="8" s="1"/>
  <c r="J36" i="8"/>
  <c r="Q36" i="8" s="1"/>
  <c r="R36" i="8" s="1"/>
  <c r="L29" i="8"/>
  <c r="AD29" i="8" s="1"/>
  <c r="AE29" i="8" s="1"/>
  <c r="L104" i="8"/>
  <c r="AD104" i="8" s="1"/>
  <c r="AE104" i="8" s="1"/>
  <c r="L107" i="8"/>
  <c r="AD107" i="8" s="1"/>
  <c r="AE107" i="8" s="1"/>
  <c r="K79" i="8"/>
  <c r="U79" i="8" s="1"/>
  <c r="V79" i="8" s="1"/>
  <c r="J10" i="8"/>
  <c r="Q10" i="8" s="1"/>
  <c r="R10" i="8" s="1"/>
  <c r="L63" i="8"/>
  <c r="AD63" i="8" s="1"/>
  <c r="AE63" i="8" s="1"/>
  <c r="L69" i="8"/>
  <c r="AD69" i="8" s="1"/>
  <c r="AE69" i="8" s="1"/>
  <c r="I77" i="8"/>
  <c r="AF77" i="8" s="1"/>
  <c r="K77" i="8"/>
  <c r="U77" i="8" s="1"/>
  <c r="V77" i="8" s="1"/>
  <c r="J71" i="8"/>
  <c r="Q71" i="8" s="1"/>
  <c r="R71" i="8" s="1"/>
  <c r="I23" i="8"/>
  <c r="K124" i="8"/>
  <c r="U124" i="8" s="1"/>
  <c r="V124" i="8" s="1"/>
  <c r="I68" i="8"/>
  <c r="I33" i="8"/>
  <c r="L38" i="8"/>
  <c r="AD38" i="8" s="1"/>
  <c r="AE38" i="8" s="1"/>
  <c r="L27" i="8"/>
  <c r="AD27" i="8" s="1"/>
  <c r="AE27" i="8" s="1"/>
  <c r="K33" i="8"/>
  <c r="U33" i="8" s="1"/>
  <c r="V33" i="8" s="1"/>
  <c r="K80" i="8"/>
  <c r="U80" i="8" s="1"/>
  <c r="V80" i="8" s="1"/>
  <c r="I103" i="8"/>
  <c r="I92" i="8"/>
  <c r="AF92" i="8" s="1"/>
  <c r="J114" i="8"/>
  <c r="Q114" i="8" s="1"/>
  <c r="R114" i="8" s="1"/>
  <c r="J115" i="8"/>
  <c r="S115" i="8" s="1"/>
  <c r="T115" i="8" s="1"/>
  <c r="J80" i="8"/>
  <c r="Q80" i="8" s="1"/>
  <c r="R80" i="8" s="1"/>
  <c r="J27" i="8"/>
  <c r="S27" i="8" s="1"/>
  <c r="T27" i="8" s="1"/>
  <c r="L103" i="8"/>
  <c r="AD103" i="8" s="1"/>
  <c r="AE103" i="8" s="1"/>
  <c r="J58" i="8"/>
  <c r="S58" i="8" s="1"/>
  <c r="T58" i="8" s="1"/>
  <c r="J77" i="8"/>
  <c r="Q77" i="8" s="1"/>
  <c r="R77" i="8" s="1"/>
  <c r="I96" i="8"/>
  <c r="AF96" i="8" s="1"/>
  <c r="L89" i="8"/>
  <c r="AD89" i="8" s="1"/>
  <c r="AE89" i="8" s="1"/>
  <c r="I50" i="8"/>
  <c r="I34" i="8"/>
  <c r="I12" i="8"/>
  <c r="AF12" i="8" s="1"/>
  <c r="K96" i="8"/>
  <c r="U96" i="8" s="1"/>
  <c r="V96" i="8" s="1"/>
  <c r="K49" i="8"/>
  <c r="U49" i="8" s="1"/>
  <c r="V49" i="8" s="1"/>
  <c r="K27" i="8"/>
  <c r="U27" i="8" s="1"/>
  <c r="V27" i="8" s="1"/>
  <c r="I113" i="8"/>
  <c r="AF113" i="8" s="1"/>
  <c r="K94" i="8"/>
  <c r="U94" i="8" s="1"/>
  <c r="V94" i="8" s="1"/>
  <c r="K103" i="8"/>
  <c r="U103" i="8" s="1"/>
  <c r="V103" i="8" s="1"/>
  <c r="K81" i="8"/>
  <c r="U81" i="8" s="1"/>
  <c r="V81" i="8" s="1"/>
  <c r="K38" i="8"/>
  <c r="U38" i="8" s="1"/>
  <c r="V38" i="8" s="1"/>
  <c r="J12" i="8"/>
  <c r="Q12" i="8" s="1"/>
  <c r="R12" i="8" s="1"/>
  <c r="K34" i="8"/>
  <c r="U34" i="8" s="1"/>
  <c r="V34" i="8" s="1"/>
  <c r="K114" i="8"/>
  <c r="U114" i="8" s="1"/>
  <c r="V114" i="8" s="1"/>
  <c r="I89" i="8"/>
  <c r="AF89" i="8" s="1"/>
  <c r="L94" i="8"/>
  <c r="AD94" i="8" s="1"/>
  <c r="AE94" i="8" s="1"/>
  <c r="I93" i="8"/>
  <c r="L100" i="8"/>
  <c r="AD100" i="8" s="1"/>
  <c r="AE100" i="8" s="1"/>
  <c r="J83" i="8"/>
  <c r="S83" i="8" s="1"/>
  <c r="T83" i="8" s="1"/>
  <c r="J78" i="8"/>
  <c r="Q78" i="8" s="1"/>
  <c r="R78" i="8" s="1"/>
  <c r="K68" i="8"/>
  <c r="U68" i="8" s="1"/>
  <c r="V68" i="8" s="1"/>
  <c r="I114" i="8"/>
  <c r="I115" i="8"/>
  <c r="J47" i="8"/>
  <c r="S47" i="8" s="1"/>
  <c r="T47" i="8" s="1"/>
  <c r="K23" i="8"/>
  <c r="U23" i="8" s="1"/>
  <c r="V23" i="8" s="1"/>
  <c r="K83" i="8"/>
  <c r="U83" i="8" s="1"/>
  <c r="V83" i="8" s="1"/>
  <c r="K44" i="8"/>
  <c r="U44" i="8" s="1"/>
  <c r="V44" i="8" s="1"/>
  <c r="J81" i="8"/>
  <c r="Q81" i="8" s="1"/>
  <c r="R81" i="8" s="1"/>
  <c r="I71" i="8"/>
  <c r="K54" i="8"/>
  <c r="U54" i="8" s="1"/>
  <c r="V54" i="8" s="1"/>
  <c r="J92" i="8"/>
  <c r="Q92" i="8" s="1"/>
  <c r="R92" i="8" s="1"/>
  <c r="K50" i="8"/>
  <c r="U50" i="8" s="1"/>
  <c r="V50" i="8" s="1"/>
  <c r="K47" i="8"/>
  <c r="U47" i="8" s="1"/>
  <c r="V47" i="8" s="1"/>
  <c r="I95" i="8"/>
  <c r="I75" i="8"/>
  <c r="AF75" i="8" s="1"/>
  <c r="K15" i="8"/>
  <c r="U15" i="8" s="1"/>
  <c r="V15" i="8" s="1"/>
  <c r="J20" i="8"/>
  <c r="Q20" i="8" s="1"/>
  <c r="R20" i="8" s="1"/>
  <c r="I20" i="8"/>
  <c r="AF20" i="8" s="1"/>
  <c r="L28" i="8"/>
  <c r="AD28" i="8" s="1"/>
  <c r="AE28" i="8" s="1"/>
  <c r="L18" i="8"/>
  <c r="AD18" i="8" s="1"/>
  <c r="AE18" i="8" s="1"/>
  <c r="L57" i="8"/>
  <c r="AD57" i="8" s="1"/>
  <c r="AE57" i="8" s="1"/>
  <c r="K36" i="8"/>
  <c r="U36" i="8" s="1"/>
  <c r="V36" i="8" s="1"/>
  <c r="K29" i="8"/>
  <c r="U29" i="8" s="1"/>
  <c r="V29" i="8" s="1"/>
  <c r="K20" i="8"/>
  <c r="U20" i="8" s="1"/>
  <c r="V20" i="8" s="1"/>
  <c r="I36" i="8"/>
  <c r="I64" i="8"/>
  <c r="K70" i="8"/>
  <c r="U70" i="8" s="1"/>
  <c r="V70" i="8" s="1"/>
  <c r="I56" i="8"/>
  <c r="K57" i="8"/>
  <c r="U57" i="8" s="1"/>
  <c r="V57" i="8" s="1"/>
  <c r="J56" i="8"/>
  <c r="S56" i="8" s="1"/>
  <c r="T56" i="8" s="1"/>
  <c r="I69" i="8"/>
  <c r="AF69" i="8" s="1"/>
  <c r="I70" i="8"/>
  <c r="K42" i="8"/>
  <c r="U42" i="8" s="1"/>
  <c r="V42" i="8" s="1"/>
  <c r="K59" i="8"/>
  <c r="U59" i="8" s="1"/>
  <c r="V59" i="8" s="1"/>
  <c r="I29" i="8"/>
  <c r="AF29" i="8" s="1"/>
  <c r="K122" i="8"/>
  <c r="U122" i="8" s="1"/>
  <c r="V122" i="8" s="1"/>
  <c r="K56" i="8"/>
  <c r="U56" i="8" s="1"/>
  <c r="V56" i="8" s="1"/>
  <c r="I57" i="8"/>
  <c r="J116" i="8"/>
  <c r="Q116" i="8" s="1"/>
  <c r="R116" i="8" s="1"/>
  <c r="L59" i="8"/>
  <c r="AD59" i="8" s="1"/>
  <c r="AE59" i="8" s="1"/>
  <c r="J65" i="8"/>
  <c r="Q65" i="8" s="1"/>
  <c r="R65" i="8" s="1"/>
  <c r="I111" i="8"/>
  <c r="I106" i="8"/>
  <c r="AF106" i="8" s="1"/>
  <c r="J44" i="8"/>
  <c r="Q44" i="8" s="1"/>
  <c r="R44" i="8" s="1"/>
  <c r="J93" i="8"/>
  <c r="Q93" i="8" s="1"/>
  <c r="R93" i="8" s="1"/>
  <c r="J124" i="8"/>
  <c r="S124" i="8" s="1"/>
  <c r="T124" i="8" s="1"/>
  <c r="K106" i="8"/>
  <c r="U106" i="8" s="1"/>
  <c r="V106" i="8" s="1"/>
  <c r="K99" i="8"/>
  <c r="U99" i="8" s="1"/>
  <c r="V99" i="8" s="1"/>
  <c r="I124" i="8"/>
  <c r="K60" i="8"/>
  <c r="U60" i="8" s="1"/>
  <c r="V60" i="8" s="1"/>
  <c r="I123" i="8"/>
  <c r="AF123" i="8" s="1"/>
  <c r="J106" i="8"/>
  <c r="Q106" i="8" s="1"/>
  <c r="R106" i="8" s="1"/>
  <c r="K111" i="8"/>
  <c r="U111" i="8" s="1"/>
  <c r="V111" i="8" s="1"/>
  <c r="L99" i="8"/>
  <c r="AD99" i="8" s="1"/>
  <c r="AE99" i="8" s="1"/>
  <c r="L82" i="8"/>
  <c r="AD82" i="8" s="1"/>
  <c r="AE82" i="8" s="1"/>
  <c r="L60" i="8"/>
  <c r="AD60" i="8" s="1"/>
  <c r="AE60" i="8" s="1"/>
  <c r="I99" i="8"/>
  <c r="I83" i="8"/>
  <c r="I44" i="8"/>
  <c r="J59" i="8"/>
  <c r="Q59" i="8" s="1"/>
  <c r="R59" i="8" s="1"/>
  <c r="J118" i="8"/>
  <c r="Q118" i="8" s="1"/>
  <c r="R118" i="8" s="1"/>
  <c r="J72" i="8"/>
  <c r="Q72" i="8" s="1"/>
  <c r="R72" i="8" s="1"/>
  <c r="K93" i="8"/>
  <c r="U93" i="8" s="1"/>
  <c r="V93" i="8" s="1"/>
  <c r="K118" i="8"/>
  <c r="U118" i="8" s="1"/>
  <c r="V118" i="8" s="1"/>
  <c r="J111" i="8"/>
  <c r="Q111" i="8" s="1"/>
  <c r="R111" i="8" s="1"/>
  <c r="K92" i="8"/>
  <c r="U92" i="8" s="1"/>
  <c r="V92" i="8" s="1"/>
  <c r="J96" i="8"/>
  <c r="Q96" i="8" s="1"/>
  <c r="R96" i="8" s="1"/>
  <c r="J70" i="8"/>
  <c r="S70" i="8" s="1"/>
  <c r="T70" i="8" s="1"/>
  <c r="J60" i="8"/>
  <c r="Q60" i="8" s="1"/>
  <c r="R60" i="8" s="1"/>
  <c r="I72" i="8"/>
  <c r="I118" i="8"/>
  <c r="AF118" i="8" s="1"/>
  <c r="I16" i="8"/>
  <c r="K16" i="8"/>
  <c r="U16" i="8" s="1"/>
  <c r="V16" i="8" s="1"/>
  <c r="I127" i="8"/>
  <c r="L42" i="8"/>
  <c r="AD42" i="8" s="1"/>
  <c r="AE42" i="8" s="1"/>
  <c r="I122" i="8"/>
  <c r="J123" i="8"/>
  <c r="Q123" i="8" s="1"/>
  <c r="R123" i="8" s="1"/>
  <c r="K65" i="8"/>
  <c r="U65" i="8" s="1"/>
  <c r="V65" i="8" s="1"/>
  <c r="K72" i="8"/>
  <c r="U72" i="8" s="1"/>
  <c r="V72" i="8" s="1"/>
  <c r="J122" i="8"/>
  <c r="Q122" i="8" s="1"/>
  <c r="R122" i="8" s="1"/>
  <c r="K74" i="8"/>
  <c r="U74" i="8" s="1"/>
  <c r="V74" i="8" s="1"/>
  <c r="K123" i="8"/>
  <c r="U123" i="8" s="1"/>
  <c r="V123" i="8" s="1"/>
  <c r="I78" i="8"/>
  <c r="AF78" i="8" s="1"/>
  <c r="S100" i="8"/>
  <c r="T100" i="8" s="1"/>
  <c r="K127" i="8"/>
  <c r="U127" i="8" s="1"/>
  <c r="V127" i="8" s="1"/>
  <c r="J67" i="8"/>
  <c r="S67" i="8" s="1"/>
  <c r="T67" i="8" s="1"/>
  <c r="I11" i="8"/>
  <c r="K128" i="8"/>
  <c r="U128" i="8" s="1"/>
  <c r="V128" i="8" s="1"/>
  <c r="K67" i="8"/>
  <c r="U67" i="8" s="1"/>
  <c r="V67" i="8" s="1"/>
  <c r="L15" i="8"/>
  <c r="AD15" i="8" s="1"/>
  <c r="AE15" i="8" s="1"/>
  <c r="L24" i="8"/>
  <c r="AD24" i="8" s="1"/>
  <c r="AE24" i="8" s="1"/>
  <c r="L11" i="8"/>
  <c r="AD11" i="8" s="1"/>
  <c r="AE11" i="8" s="1"/>
  <c r="L127" i="8"/>
  <c r="AD127" i="8" s="1"/>
  <c r="AE127" i="8" s="1"/>
  <c r="K100" i="8"/>
  <c r="U100" i="8" s="1"/>
  <c r="V100" i="8" s="1"/>
  <c r="K78" i="8"/>
  <c r="U78" i="8" s="1"/>
  <c r="V78" i="8" s="1"/>
  <c r="I67" i="8"/>
  <c r="I100" i="8"/>
  <c r="AF100" i="8" s="1"/>
  <c r="I37" i="8"/>
  <c r="I24" i="8"/>
  <c r="K11" i="8"/>
  <c r="U11" i="8" s="1"/>
  <c r="V11" i="8" s="1"/>
  <c r="K24" i="8"/>
  <c r="U24" i="8" s="1"/>
  <c r="V24" i="8" s="1"/>
  <c r="J54" i="8"/>
  <c r="S54" i="8" s="1"/>
  <c r="T54" i="8" s="1"/>
  <c r="J37" i="8"/>
  <c r="S37" i="8" s="1"/>
  <c r="T37" i="8" s="1"/>
  <c r="K37" i="8"/>
  <c r="U37" i="8" s="1"/>
  <c r="V37" i="8" s="1"/>
  <c r="I15" i="8"/>
  <c r="K46" i="8"/>
  <c r="U46" i="8" s="1"/>
  <c r="V46" i="8" s="1"/>
  <c r="J105" i="8"/>
  <c r="Q105" i="8" s="1"/>
  <c r="R105" i="8" s="1"/>
  <c r="I128" i="8"/>
  <c r="I105" i="8"/>
  <c r="I82" i="8"/>
  <c r="K105" i="8"/>
  <c r="U105" i="8" s="1"/>
  <c r="V105" i="8" s="1"/>
  <c r="I65" i="8"/>
  <c r="I46" i="8"/>
  <c r="K64" i="8"/>
  <c r="U64" i="8" s="1"/>
  <c r="V64" i="8" s="1"/>
  <c r="I74" i="8"/>
  <c r="J74" i="8"/>
  <c r="Q74" i="8" s="1"/>
  <c r="R74" i="8" s="1"/>
  <c r="K82" i="8"/>
  <c r="U82" i="8" s="1"/>
  <c r="V82" i="8" s="1"/>
  <c r="J128" i="8"/>
  <c r="Q128" i="8" s="1"/>
  <c r="R128" i="8" s="1"/>
  <c r="J46" i="8"/>
  <c r="Q46" i="8" s="1"/>
  <c r="R46" i="8" s="1"/>
  <c r="C42" i="8"/>
  <c r="C44" i="8"/>
  <c r="O35" i="8"/>
  <c r="O42" i="8"/>
  <c r="O55" i="8"/>
  <c r="U104" i="8"/>
  <c r="V104" i="8" s="1"/>
  <c r="U40" i="8"/>
  <c r="V40" i="8" s="1"/>
  <c r="U51" i="8"/>
  <c r="V51" i="8" s="1"/>
  <c r="U35" i="8"/>
  <c r="V35" i="8" s="1"/>
  <c r="U98" i="8"/>
  <c r="V98" i="8" s="1"/>
  <c r="U66" i="8"/>
  <c r="V66" i="8" s="1"/>
  <c r="U108" i="8"/>
  <c r="V108" i="8" s="1"/>
  <c r="U85" i="8"/>
  <c r="V85" i="8" s="1"/>
  <c r="U21" i="8"/>
  <c r="V21" i="8" s="1"/>
  <c r="U31" i="8"/>
  <c r="V31" i="8" s="1"/>
  <c r="U55" i="8"/>
  <c r="V55" i="8" s="1"/>
  <c r="U19" i="8"/>
  <c r="V19" i="8" s="1"/>
  <c r="Q98" i="8"/>
  <c r="R98" i="8" s="1"/>
  <c r="S98" i="8"/>
  <c r="T98" i="8" s="1"/>
  <c r="Q11" i="8"/>
  <c r="R11" i="8" s="1"/>
  <c r="S11" i="8"/>
  <c r="T11" i="8" s="1"/>
  <c r="Q41" i="8"/>
  <c r="R41" i="8" s="1"/>
  <c r="S41" i="8"/>
  <c r="T41" i="8" s="1"/>
  <c r="Q66" i="8"/>
  <c r="R66" i="8" s="1"/>
  <c r="S66" i="8"/>
  <c r="T66" i="8" s="1"/>
  <c r="Q69" i="8"/>
  <c r="R69" i="8" s="1"/>
  <c r="S69" i="8"/>
  <c r="T69" i="8" s="1"/>
  <c r="Q127" i="8"/>
  <c r="R127" i="8" s="1"/>
  <c r="S127" i="8"/>
  <c r="T127" i="8" s="1"/>
  <c r="Q19" i="8"/>
  <c r="R19" i="8" s="1"/>
  <c r="S19" i="8"/>
  <c r="T19" i="8" s="1"/>
  <c r="Q63" i="8"/>
  <c r="R63" i="8" s="1"/>
  <c r="S63" i="8"/>
  <c r="T63" i="8" s="1"/>
  <c r="Q45" i="8"/>
  <c r="R45" i="8" s="1"/>
  <c r="S45" i="8"/>
  <c r="T45" i="8" s="1"/>
  <c r="Q103" i="8"/>
  <c r="R103" i="8" s="1"/>
  <c r="S103" i="8"/>
  <c r="T103" i="8" s="1"/>
  <c r="Q119" i="8"/>
  <c r="R119" i="8" s="1"/>
  <c r="S119" i="8"/>
  <c r="T119" i="8" s="1"/>
  <c r="Q108" i="8"/>
  <c r="R108" i="8" s="1"/>
  <c r="S108" i="8"/>
  <c r="T108" i="8" s="1"/>
  <c r="Q85" i="8"/>
  <c r="R85" i="8" s="1"/>
  <c r="S85" i="8"/>
  <c r="T85" i="8" s="1"/>
  <c r="Q73" i="8"/>
  <c r="R73" i="8" s="1"/>
  <c r="S73" i="8"/>
  <c r="T73" i="8" s="1"/>
  <c r="Q13" i="8"/>
  <c r="R13" i="8" s="1"/>
  <c r="S13" i="8"/>
  <c r="T13" i="8" s="1"/>
  <c r="Q113" i="8"/>
  <c r="R113" i="8" s="1"/>
  <c r="S113" i="8"/>
  <c r="T113" i="8" s="1"/>
  <c r="Q89" i="8"/>
  <c r="R89" i="8" s="1"/>
  <c r="S89" i="8"/>
  <c r="T89" i="8" s="1"/>
  <c r="Q57" i="8"/>
  <c r="R57" i="8" s="1"/>
  <c r="S57" i="8"/>
  <c r="T57" i="8" s="1"/>
  <c r="Q21" i="8"/>
  <c r="R21" i="8" s="1"/>
  <c r="S21" i="8"/>
  <c r="T21" i="8" s="1"/>
  <c r="Q52" i="8"/>
  <c r="R52" i="8" s="1"/>
  <c r="S52" i="8"/>
  <c r="T52" i="8" s="1"/>
  <c r="Q55" i="8"/>
  <c r="R55" i="8" s="1"/>
  <c r="S55" i="8"/>
  <c r="T55" i="8" s="1"/>
  <c r="Q107" i="8"/>
  <c r="R107" i="8" s="1"/>
  <c r="S107" i="8"/>
  <c r="T107" i="8" s="1"/>
  <c r="Q17" i="8"/>
  <c r="R17" i="8" s="1"/>
  <c r="S17" i="8"/>
  <c r="T17" i="8" s="1"/>
  <c r="Q112" i="8"/>
  <c r="R112" i="8" s="1"/>
  <c r="S112" i="8"/>
  <c r="T112" i="8" s="1"/>
  <c r="Q29" i="8"/>
  <c r="R29" i="8" s="1"/>
  <c r="S29" i="8"/>
  <c r="T29" i="8" s="1"/>
  <c r="Q25" i="8"/>
  <c r="R25" i="8" s="1"/>
  <c r="S25" i="8"/>
  <c r="T25" i="8" s="1"/>
  <c r="Q126" i="8"/>
  <c r="R126" i="8" s="1"/>
  <c r="S126" i="8"/>
  <c r="T126" i="8" s="1"/>
  <c r="Q31" i="8"/>
  <c r="R31" i="8" s="1"/>
  <c r="S31" i="8"/>
  <c r="T31" i="8" s="1"/>
  <c r="Q48" i="8"/>
  <c r="R48" i="8" s="1"/>
  <c r="S48" i="8"/>
  <c r="T48" i="8" s="1"/>
  <c r="Q49" i="8"/>
  <c r="R49" i="8" s="1"/>
  <c r="S49" i="8"/>
  <c r="T49" i="8" s="1"/>
  <c r="Q75" i="8"/>
  <c r="R75" i="8" s="1"/>
  <c r="S75" i="8"/>
  <c r="T75" i="8" s="1"/>
  <c r="Q51" i="8"/>
  <c r="R51" i="8" s="1"/>
  <c r="S51" i="8"/>
  <c r="T51" i="8" s="1"/>
  <c r="Q33" i="8"/>
  <c r="R33" i="8" s="1"/>
  <c r="S33" i="8"/>
  <c r="T33" i="8" s="1"/>
  <c r="Q110" i="8"/>
  <c r="R110" i="8" s="1"/>
  <c r="S110" i="8"/>
  <c r="T110" i="8" s="1"/>
  <c r="Q14" i="8"/>
  <c r="R14" i="8" s="1"/>
  <c r="S14" i="8"/>
  <c r="T14" i="8" s="1"/>
  <c r="Q39" i="8"/>
  <c r="R39" i="8" s="1"/>
  <c r="S39" i="8"/>
  <c r="T39" i="8" s="1"/>
  <c r="Q99" i="8"/>
  <c r="R99" i="8" s="1"/>
  <c r="S99" i="8"/>
  <c r="T99" i="8" s="1"/>
  <c r="Q82" i="8"/>
  <c r="R82" i="8" s="1"/>
  <c r="S82" i="8"/>
  <c r="T82" i="8" s="1"/>
  <c r="Q35" i="8"/>
  <c r="R35" i="8" s="1"/>
  <c r="S35" i="8"/>
  <c r="T35" i="8" s="1"/>
  <c r="Q15" i="8"/>
  <c r="R15" i="8" s="1"/>
  <c r="S15" i="8"/>
  <c r="T15" i="8" s="1"/>
  <c r="Q90" i="8"/>
  <c r="R90" i="8" s="1"/>
  <c r="S90" i="8"/>
  <c r="T90" i="8" s="1"/>
  <c r="Q24" i="8"/>
  <c r="R24" i="8" s="1"/>
  <c r="S24" i="8"/>
  <c r="T24" i="8" s="1"/>
  <c r="O85" i="8"/>
  <c r="O98" i="8"/>
  <c r="O108" i="8"/>
  <c r="O116" i="8"/>
  <c r="O27" i="8"/>
  <c r="O19" i="8"/>
  <c r="O31" i="8"/>
  <c r="O94" i="8"/>
  <c r="O28" i="8"/>
  <c r="O81" i="8"/>
  <c r="O38" i="8"/>
  <c r="O21" i="8"/>
  <c r="O59" i="8"/>
  <c r="O60" i="8"/>
  <c r="O18" i="8"/>
  <c r="O51" i="8"/>
  <c r="O66" i="8"/>
  <c r="O91" i="8"/>
  <c r="O80" i="8"/>
  <c r="X12" i="8"/>
  <c r="AA12" i="8" s="1"/>
  <c r="X16" i="8"/>
  <c r="AA16" i="8" s="1"/>
  <c r="X20" i="8"/>
  <c r="AA20" i="8" s="1"/>
  <c r="X24" i="8"/>
  <c r="AA24" i="8" s="1"/>
  <c r="X28" i="8"/>
  <c r="AA28" i="8" s="1"/>
  <c r="X32" i="8"/>
  <c r="AA32" i="8" s="1"/>
  <c r="X36" i="8"/>
  <c r="AA36" i="8" s="1"/>
  <c r="X40" i="8"/>
  <c r="AA40" i="8" s="1"/>
  <c r="X44" i="8"/>
  <c r="AA44" i="8" s="1"/>
  <c r="X48" i="8"/>
  <c r="AA48" i="8" s="1"/>
  <c r="X52" i="8"/>
  <c r="AA52" i="8" s="1"/>
  <c r="X56" i="8"/>
  <c r="AA56" i="8" s="1"/>
  <c r="X60" i="8"/>
  <c r="AA60" i="8" s="1"/>
  <c r="X64" i="8"/>
  <c r="AA64" i="8" s="1"/>
  <c r="X68" i="8"/>
  <c r="AA68" i="8" s="1"/>
  <c r="X72" i="8"/>
  <c r="AA72" i="8" s="1"/>
  <c r="X76" i="8"/>
  <c r="AA76" i="8" s="1"/>
  <c r="X80" i="8"/>
  <c r="AA80" i="8" s="1"/>
  <c r="X84" i="8"/>
  <c r="AA84" i="8" s="1"/>
  <c r="X88" i="8"/>
  <c r="AA88" i="8" s="1"/>
  <c r="X92" i="8"/>
  <c r="AA92" i="8" s="1"/>
  <c r="X96" i="8"/>
  <c r="AA96" i="8" s="1"/>
  <c r="X100" i="8"/>
  <c r="AA100" i="8" s="1"/>
  <c r="X104" i="8"/>
  <c r="AA104" i="8" s="1"/>
  <c r="X108" i="8"/>
  <c r="AA108" i="8" s="1"/>
  <c r="X112" i="8"/>
  <c r="AA112" i="8" s="1"/>
  <c r="X116" i="8"/>
  <c r="AA116" i="8" s="1"/>
  <c r="X120" i="8"/>
  <c r="AA120" i="8" s="1"/>
  <c r="X124" i="8"/>
  <c r="AA124" i="8" s="1"/>
  <c r="X128" i="8"/>
  <c r="AA128" i="8" s="1"/>
  <c r="X10" i="8"/>
  <c r="AA10" i="8" s="1"/>
  <c r="X14" i="8"/>
  <c r="AA14" i="8" s="1"/>
  <c r="X18" i="8"/>
  <c r="AA18" i="8" s="1"/>
  <c r="X22" i="8"/>
  <c r="AA22" i="8" s="1"/>
  <c r="X26" i="8"/>
  <c r="AA26" i="8" s="1"/>
  <c r="X30" i="8"/>
  <c r="AA30" i="8" s="1"/>
  <c r="X34" i="8"/>
  <c r="AA34" i="8" s="1"/>
  <c r="X38" i="8"/>
  <c r="AA38" i="8" s="1"/>
  <c r="X42" i="8"/>
  <c r="AA42" i="8" s="1"/>
  <c r="X46" i="8"/>
  <c r="AA46" i="8" s="1"/>
  <c r="X50" i="8"/>
  <c r="AA50" i="8" s="1"/>
  <c r="X54" i="8"/>
  <c r="AA54" i="8" s="1"/>
  <c r="X58" i="8"/>
  <c r="AA58" i="8" s="1"/>
  <c r="X62" i="8"/>
  <c r="AA62" i="8" s="1"/>
  <c r="X66" i="8"/>
  <c r="AA66" i="8" s="1"/>
  <c r="X70" i="8"/>
  <c r="AA70" i="8" s="1"/>
  <c r="X74" i="8"/>
  <c r="AA74" i="8" s="1"/>
  <c r="X78" i="8"/>
  <c r="AA78" i="8" s="1"/>
  <c r="X82" i="8"/>
  <c r="AA82" i="8" s="1"/>
  <c r="X86" i="8"/>
  <c r="AA86" i="8" s="1"/>
  <c r="X90" i="8"/>
  <c r="AA90" i="8" s="1"/>
  <c r="X94" i="8"/>
  <c r="AA94" i="8" s="1"/>
  <c r="X98" i="8"/>
  <c r="AA98" i="8" s="1"/>
  <c r="X102" i="8"/>
  <c r="AA102" i="8" s="1"/>
  <c r="X106" i="8"/>
  <c r="AA106" i="8" s="1"/>
  <c r="X110" i="8"/>
  <c r="AA110" i="8" s="1"/>
  <c r="X114" i="8"/>
  <c r="AA114" i="8" s="1"/>
  <c r="X118" i="8"/>
  <c r="AA118" i="8" s="1"/>
  <c r="X122" i="8"/>
  <c r="AA122" i="8" s="1"/>
  <c r="X126" i="8"/>
  <c r="AA126" i="8" s="1"/>
  <c r="X9" i="8"/>
  <c r="AA9" i="8" s="1"/>
  <c r="X17" i="8"/>
  <c r="AA17" i="8" s="1"/>
  <c r="X25" i="8"/>
  <c r="AA25" i="8" s="1"/>
  <c r="X33" i="8"/>
  <c r="AA33" i="8" s="1"/>
  <c r="X41" i="8"/>
  <c r="AA41" i="8" s="1"/>
  <c r="X49" i="8"/>
  <c r="AA49" i="8" s="1"/>
  <c r="X57" i="8"/>
  <c r="AA57" i="8" s="1"/>
  <c r="X65" i="8"/>
  <c r="AA65" i="8" s="1"/>
  <c r="X73" i="8"/>
  <c r="AA73" i="8" s="1"/>
  <c r="X81" i="8"/>
  <c r="AA81" i="8" s="1"/>
  <c r="X89" i="8"/>
  <c r="AA89" i="8" s="1"/>
  <c r="X97" i="8"/>
  <c r="AA97" i="8" s="1"/>
  <c r="X105" i="8"/>
  <c r="AA105" i="8" s="1"/>
  <c r="X113" i="8"/>
  <c r="AA113" i="8" s="1"/>
  <c r="X121" i="8"/>
  <c r="AA121" i="8" s="1"/>
  <c r="X11" i="8"/>
  <c r="AA11" i="8" s="1"/>
  <c r="X27" i="8"/>
  <c r="AA27" i="8" s="1"/>
  <c r="X35" i="8"/>
  <c r="AA35" i="8" s="1"/>
  <c r="X51" i="8"/>
  <c r="AA51" i="8" s="1"/>
  <c r="X83" i="8"/>
  <c r="AA83" i="8" s="1"/>
  <c r="X99" i="8"/>
  <c r="AA99" i="8" s="1"/>
  <c r="X115" i="8"/>
  <c r="AA115" i="8" s="1"/>
  <c r="X13" i="8"/>
  <c r="AA13" i="8" s="1"/>
  <c r="X21" i="8"/>
  <c r="AA21" i="8" s="1"/>
  <c r="X29" i="8"/>
  <c r="AA29" i="8" s="1"/>
  <c r="X37" i="8"/>
  <c r="AA37" i="8" s="1"/>
  <c r="X45" i="8"/>
  <c r="AA45" i="8" s="1"/>
  <c r="X53" i="8"/>
  <c r="AA53" i="8" s="1"/>
  <c r="X61" i="8"/>
  <c r="AA61" i="8" s="1"/>
  <c r="X69" i="8"/>
  <c r="AA69" i="8" s="1"/>
  <c r="X77" i="8"/>
  <c r="AA77" i="8" s="1"/>
  <c r="X85" i="8"/>
  <c r="AA85" i="8" s="1"/>
  <c r="X93" i="8"/>
  <c r="AA93" i="8" s="1"/>
  <c r="X101" i="8"/>
  <c r="AA101" i="8" s="1"/>
  <c r="X109" i="8"/>
  <c r="AA109" i="8" s="1"/>
  <c r="X117" i="8"/>
  <c r="AA117" i="8" s="1"/>
  <c r="X125" i="8"/>
  <c r="AA125" i="8" s="1"/>
  <c r="X15" i="8"/>
  <c r="AA15" i="8" s="1"/>
  <c r="X23" i="8"/>
  <c r="AA23" i="8" s="1"/>
  <c r="X31" i="8"/>
  <c r="AA31" i="8" s="1"/>
  <c r="X39" i="8"/>
  <c r="AA39" i="8" s="1"/>
  <c r="X47" i="8"/>
  <c r="AA47" i="8" s="1"/>
  <c r="X55" i="8"/>
  <c r="AA55" i="8" s="1"/>
  <c r="X63" i="8"/>
  <c r="AA63" i="8" s="1"/>
  <c r="X71" i="8"/>
  <c r="AA71" i="8" s="1"/>
  <c r="X79" i="8"/>
  <c r="AA79" i="8" s="1"/>
  <c r="X87" i="8"/>
  <c r="AA87" i="8" s="1"/>
  <c r="X95" i="8"/>
  <c r="AA95" i="8" s="1"/>
  <c r="X103" i="8"/>
  <c r="AA103" i="8" s="1"/>
  <c r="X111" i="8"/>
  <c r="AA111" i="8" s="1"/>
  <c r="X119" i="8"/>
  <c r="AA119" i="8" s="1"/>
  <c r="X127" i="8"/>
  <c r="AA127" i="8" s="1"/>
  <c r="X19" i="8"/>
  <c r="AA19" i="8" s="1"/>
  <c r="X43" i="8"/>
  <c r="AA43" i="8" s="1"/>
  <c r="X59" i="8"/>
  <c r="AA59" i="8" s="1"/>
  <c r="X67" i="8"/>
  <c r="AA67" i="8" s="1"/>
  <c r="X75" i="8"/>
  <c r="AA75" i="8" s="1"/>
  <c r="X91" i="8"/>
  <c r="AA91" i="8" s="1"/>
  <c r="X107" i="8"/>
  <c r="AA107" i="8" s="1"/>
  <c r="X123" i="8"/>
  <c r="AA123" i="8" s="1"/>
  <c r="AI80" i="8"/>
  <c r="AJ80" i="8" s="1"/>
  <c r="AI38" i="8"/>
  <c r="AJ38" i="8" s="1"/>
  <c r="AI116" i="8"/>
  <c r="AJ116" i="8" s="1"/>
  <c r="AI21" i="8"/>
  <c r="AJ21" i="8" s="1"/>
  <c r="AI81" i="8"/>
  <c r="AJ81" i="8" s="1"/>
  <c r="AI27" i="8"/>
  <c r="AJ27" i="8" s="1"/>
  <c r="AI91" i="8"/>
  <c r="AJ91" i="8" s="1"/>
  <c r="AI59" i="8"/>
  <c r="AJ59" i="8" s="1"/>
  <c r="AI35" i="8"/>
  <c r="AJ35" i="8" s="1"/>
  <c r="AI60" i="8"/>
  <c r="AJ60" i="8" s="1"/>
  <c r="AI55" i="8"/>
  <c r="AJ55" i="8" s="1"/>
  <c r="AI42" i="8"/>
  <c r="AJ42" i="8" s="1"/>
  <c r="AI66" i="8"/>
  <c r="AJ66" i="8" s="1"/>
  <c r="AI85" i="8"/>
  <c r="AJ85" i="8" s="1"/>
  <c r="AI18" i="8"/>
  <c r="AJ18" i="8" s="1"/>
  <c r="AI28" i="8"/>
  <c r="AJ28" i="8" s="1"/>
  <c r="AI51" i="8"/>
  <c r="AJ51" i="8" s="1"/>
  <c r="AI19" i="8"/>
  <c r="AJ19" i="8" s="1"/>
  <c r="AI94" i="8"/>
  <c r="AJ94" i="8" s="1"/>
  <c r="AI31" i="8"/>
  <c r="AJ31" i="8" s="1"/>
  <c r="AI98" i="8"/>
  <c r="AJ98" i="8" s="1"/>
  <c r="AI108" i="8"/>
  <c r="AJ108" i="8" s="1"/>
  <c r="C88" i="1"/>
  <c r="U8" i="8" l="1"/>
  <c r="V8" i="8" s="1"/>
  <c r="AI48" i="8"/>
  <c r="AJ48" i="8" s="1"/>
  <c r="AF128" i="8"/>
  <c r="AG128" i="8" s="1"/>
  <c r="AF67" i="8"/>
  <c r="AG67" i="8" s="1"/>
  <c r="AF16" i="8"/>
  <c r="AG16" i="8" s="1"/>
  <c r="AF125" i="8"/>
  <c r="AG125" i="8" s="1"/>
  <c r="AF119" i="8"/>
  <c r="AG119" i="8" s="1"/>
  <c r="AF87" i="8"/>
  <c r="AG87" i="8" s="1"/>
  <c r="AF9" i="8"/>
  <c r="AG9" i="8" s="1"/>
  <c r="AF74" i="8"/>
  <c r="AG74" i="8" s="1"/>
  <c r="AF11" i="8"/>
  <c r="AG11" i="8" s="1"/>
  <c r="AF30" i="8"/>
  <c r="AG30" i="8" s="1"/>
  <c r="AF22" i="8"/>
  <c r="AG22" i="8" s="1"/>
  <c r="O88" i="8"/>
  <c r="P88" i="8" s="1"/>
  <c r="AF88" i="8"/>
  <c r="AG88" i="8" s="1"/>
  <c r="AF73" i="8"/>
  <c r="AG73" i="8" s="1"/>
  <c r="AF101" i="8"/>
  <c r="AG101" i="8" s="1"/>
  <c r="AF53" i="8"/>
  <c r="AG53" i="8" s="1"/>
  <c r="AF82" i="8"/>
  <c r="AG82" i="8" s="1"/>
  <c r="AF37" i="8"/>
  <c r="AG37" i="8" s="1"/>
  <c r="AF127" i="8"/>
  <c r="AG127" i="8" s="1"/>
  <c r="AF72" i="8"/>
  <c r="AG72" i="8" s="1"/>
  <c r="AF83" i="8"/>
  <c r="AG83" i="8" s="1"/>
  <c r="AF111" i="8"/>
  <c r="AG111" i="8" s="1"/>
  <c r="AF57" i="8"/>
  <c r="AG57" i="8" s="1"/>
  <c r="AF64" i="8"/>
  <c r="AG64" i="8" s="1"/>
  <c r="AF95" i="8"/>
  <c r="AG95" i="8" s="1"/>
  <c r="AF114" i="8"/>
  <c r="AG114" i="8" s="1"/>
  <c r="AF34" i="8"/>
  <c r="AG34" i="8" s="1"/>
  <c r="AF103" i="8"/>
  <c r="AG103" i="8" s="1"/>
  <c r="AF23" i="8"/>
  <c r="AG23" i="8" s="1"/>
  <c r="AF90" i="8"/>
  <c r="AG90" i="8" s="1"/>
  <c r="AF110" i="8"/>
  <c r="AG110" i="8" s="1"/>
  <c r="AF65" i="8"/>
  <c r="AG65" i="8" s="1"/>
  <c r="AF122" i="8"/>
  <c r="AG122" i="8" s="1"/>
  <c r="AF70" i="8"/>
  <c r="AG70" i="8" s="1"/>
  <c r="AF56" i="8"/>
  <c r="AG56" i="8" s="1"/>
  <c r="AF68" i="8"/>
  <c r="AG68" i="8" s="1"/>
  <c r="AF54" i="8"/>
  <c r="AG54" i="8" s="1"/>
  <c r="AF76" i="8"/>
  <c r="AG76" i="8" s="1"/>
  <c r="AF13" i="8"/>
  <c r="AG13" i="8" s="1"/>
  <c r="AF24" i="8"/>
  <c r="AG24" i="8" s="1"/>
  <c r="AF44" i="8"/>
  <c r="AG44" i="8" s="1"/>
  <c r="AF115" i="8"/>
  <c r="AG115" i="8" s="1"/>
  <c r="AF62" i="8"/>
  <c r="AG62" i="8" s="1"/>
  <c r="AF121" i="8"/>
  <c r="AG121" i="8" s="1"/>
  <c r="AF25" i="8"/>
  <c r="AG25" i="8" s="1"/>
  <c r="AF46" i="8"/>
  <c r="AG46" i="8" s="1"/>
  <c r="AF105" i="8"/>
  <c r="AG105" i="8" s="1"/>
  <c r="AF15" i="8"/>
  <c r="AG15" i="8" s="1"/>
  <c r="AF99" i="8"/>
  <c r="AG99" i="8" s="1"/>
  <c r="AF124" i="8"/>
  <c r="AG124" i="8" s="1"/>
  <c r="AF36" i="8"/>
  <c r="AG36" i="8" s="1"/>
  <c r="AF71" i="8"/>
  <c r="AG71" i="8" s="1"/>
  <c r="AF93" i="8"/>
  <c r="AG93" i="8" s="1"/>
  <c r="AF50" i="8"/>
  <c r="AG50" i="8" s="1"/>
  <c r="AF33" i="8"/>
  <c r="AG33" i="8" s="1"/>
  <c r="AF32" i="8"/>
  <c r="AG32" i="8" s="1"/>
  <c r="AF49" i="8"/>
  <c r="AG49" i="8" s="1"/>
  <c r="AF84" i="8"/>
  <c r="AG84" i="8" s="1"/>
  <c r="AF112" i="8"/>
  <c r="AG112" i="8" s="1"/>
  <c r="AF14" i="8"/>
  <c r="AG14" i="8" s="1"/>
  <c r="AF45" i="8"/>
  <c r="AG45" i="8" s="1"/>
  <c r="AF109" i="8"/>
  <c r="AG109" i="8" s="1"/>
  <c r="AF40" i="8"/>
  <c r="AG40" i="8" s="1"/>
  <c r="AF48" i="8"/>
  <c r="AG48" i="8" s="1"/>
  <c r="AG8" i="8"/>
  <c r="AI8" i="8"/>
  <c r="AJ8" i="8" s="1"/>
  <c r="O8" i="8"/>
  <c r="O53" i="8"/>
  <c r="AI53" i="8"/>
  <c r="AJ53" i="8" s="1"/>
  <c r="Q91" i="8"/>
  <c r="R91" i="8" s="1"/>
  <c r="X70" i="10"/>
  <c r="Y70" i="10" s="1"/>
  <c r="X123" i="10"/>
  <c r="Z123" i="10" s="1"/>
  <c r="X31" i="10"/>
  <c r="Y31" i="10" s="1"/>
  <c r="X84" i="10"/>
  <c r="AA84" i="10" s="1"/>
  <c r="X51" i="10"/>
  <c r="Z51" i="10" s="1"/>
  <c r="X48" i="10"/>
  <c r="Y48" i="10" s="1"/>
  <c r="X66" i="10"/>
  <c r="Y66" i="10" s="1"/>
  <c r="X120" i="10"/>
  <c r="Z120" i="10" s="1"/>
  <c r="X46" i="10"/>
  <c r="AA46" i="10" s="1"/>
  <c r="X24" i="10"/>
  <c r="Y24" i="10" s="1"/>
  <c r="AI13" i="8"/>
  <c r="AJ13" i="8" s="1"/>
  <c r="O13" i="8"/>
  <c r="AI110" i="8"/>
  <c r="AJ110" i="8" s="1"/>
  <c r="O110" i="8"/>
  <c r="O90" i="8"/>
  <c r="S22" i="8"/>
  <c r="T22" i="8" s="1"/>
  <c r="AI101" i="8"/>
  <c r="AJ101" i="8" s="1"/>
  <c r="AI25" i="8"/>
  <c r="AJ25" i="8" s="1"/>
  <c r="S109" i="8"/>
  <c r="T109" i="8" s="1"/>
  <c r="S101" i="8"/>
  <c r="T101" i="8" s="1"/>
  <c r="O87" i="8"/>
  <c r="Q40" i="8"/>
  <c r="R40" i="8" s="1"/>
  <c r="Q88" i="8"/>
  <c r="R88" i="8" s="1"/>
  <c r="AI45" i="8"/>
  <c r="AJ45" i="8" s="1"/>
  <c r="O73" i="8"/>
  <c r="O40" i="8"/>
  <c r="O25" i="8"/>
  <c r="AI109" i="8"/>
  <c r="AJ109" i="8" s="1"/>
  <c r="O45" i="8"/>
  <c r="Q94" i="8"/>
  <c r="R94" i="8" s="1"/>
  <c r="AI40" i="8"/>
  <c r="AJ40" i="8" s="1"/>
  <c r="S125" i="8"/>
  <c r="T125" i="8" s="1"/>
  <c r="O109" i="8"/>
  <c r="AI9" i="8"/>
  <c r="AJ9" i="8" s="1"/>
  <c r="AI90" i="8"/>
  <c r="AJ90" i="8" s="1"/>
  <c r="AI119" i="8"/>
  <c r="AJ119" i="8" s="1"/>
  <c r="AI125" i="8"/>
  <c r="AJ125" i="8" s="1"/>
  <c r="AI100" i="8"/>
  <c r="AJ100" i="8" s="1"/>
  <c r="AG100" i="8"/>
  <c r="AI20" i="8"/>
  <c r="AJ20" i="8" s="1"/>
  <c r="AG20" i="8"/>
  <c r="O47" i="8"/>
  <c r="AG47" i="8"/>
  <c r="AG58" i="8"/>
  <c r="AI120" i="8"/>
  <c r="AJ120" i="8" s="1"/>
  <c r="AG120" i="8"/>
  <c r="O9" i="8"/>
  <c r="O97" i="8"/>
  <c r="AG97" i="8"/>
  <c r="O26" i="8"/>
  <c r="AG26" i="8"/>
  <c r="O126" i="8"/>
  <c r="AG126" i="8"/>
  <c r="AI30" i="8"/>
  <c r="AJ30" i="8" s="1"/>
  <c r="AI88" i="8"/>
  <c r="AJ88" i="8" s="1"/>
  <c r="AI87" i="8"/>
  <c r="AJ87" i="8" s="1"/>
  <c r="AI76" i="8"/>
  <c r="AJ76" i="8" s="1"/>
  <c r="O76" i="8"/>
  <c r="Q121" i="8"/>
  <c r="R121" i="8" s="1"/>
  <c r="O79" i="8"/>
  <c r="AG79" i="8"/>
  <c r="AI52" i="8"/>
  <c r="AJ52" i="8" s="1"/>
  <c r="AG52" i="8"/>
  <c r="O86" i="8"/>
  <c r="AG86" i="8"/>
  <c r="AG107" i="8"/>
  <c r="AI10" i="8"/>
  <c r="AJ10" i="8" s="1"/>
  <c r="AG10" i="8"/>
  <c r="AI63" i="8"/>
  <c r="AJ63" i="8" s="1"/>
  <c r="AG63" i="8"/>
  <c r="O104" i="8"/>
  <c r="AG104" i="8"/>
  <c r="AI102" i="8"/>
  <c r="AJ102" i="8" s="1"/>
  <c r="AG102" i="8"/>
  <c r="AI39" i="8"/>
  <c r="AJ39" i="8" s="1"/>
  <c r="AG39" i="8"/>
  <c r="AI121" i="8"/>
  <c r="AJ121" i="8" s="1"/>
  <c r="AI73" i="8"/>
  <c r="AJ73" i="8" s="1"/>
  <c r="O30" i="8"/>
  <c r="O101" i="8"/>
  <c r="O121" i="8"/>
  <c r="S76" i="8"/>
  <c r="T76" i="8" s="1"/>
  <c r="Q53" i="8"/>
  <c r="R53" i="8" s="1"/>
  <c r="O78" i="8"/>
  <c r="AG78" i="8"/>
  <c r="O118" i="8"/>
  <c r="AG118" i="8"/>
  <c r="AI123" i="8"/>
  <c r="AJ123" i="8" s="1"/>
  <c r="AG123" i="8"/>
  <c r="AI106" i="8"/>
  <c r="AJ106" i="8" s="1"/>
  <c r="AG106" i="8"/>
  <c r="AI29" i="8"/>
  <c r="AJ29" i="8" s="1"/>
  <c r="AG29" i="8"/>
  <c r="AI69" i="8"/>
  <c r="AJ69" i="8" s="1"/>
  <c r="AG69" i="8"/>
  <c r="AI75" i="8"/>
  <c r="AJ75" i="8" s="1"/>
  <c r="AG75" i="8"/>
  <c r="AI89" i="8"/>
  <c r="AJ89" i="8" s="1"/>
  <c r="AG89" i="8"/>
  <c r="O113" i="8"/>
  <c r="AG113" i="8"/>
  <c r="AI12" i="8"/>
  <c r="AJ12" i="8" s="1"/>
  <c r="AG12" i="8"/>
  <c r="O96" i="8"/>
  <c r="AG96" i="8"/>
  <c r="O92" i="8"/>
  <c r="AG92" i="8"/>
  <c r="O77" i="8"/>
  <c r="AG77" i="8"/>
  <c r="AI43" i="8"/>
  <c r="AJ43" i="8" s="1"/>
  <c r="AG43" i="8"/>
  <c r="AI61" i="8"/>
  <c r="AJ61" i="8" s="1"/>
  <c r="AG61" i="8"/>
  <c r="AG117" i="8"/>
  <c r="AG17" i="8"/>
  <c r="AI41" i="8"/>
  <c r="AJ41" i="8" s="1"/>
  <c r="AG41" i="8"/>
  <c r="X109" i="10"/>
  <c r="Z109" i="10" s="1"/>
  <c r="X21" i="10"/>
  <c r="AA21" i="10" s="1"/>
  <c r="X42" i="10"/>
  <c r="Z42" i="10" s="1"/>
  <c r="X27" i="10"/>
  <c r="Y27" i="10" s="1"/>
  <c r="X76" i="10"/>
  <c r="Y76" i="10" s="1"/>
  <c r="X115" i="10"/>
  <c r="Y115" i="10" s="1"/>
  <c r="X92" i="10"/>
  <c r="Y92" i="10" s="1"/>
  <c r="X93" i="10"/>
  <c r="AA93" i="10" s="1"/>
  <c r="X11" i="10"/>
  <c r="Y11" i="10" s="1"/>
  <c r="X88" i="10"/>
  <c r="Z88" i="10" s="1"/>
  <c r="X33" i="10"/>
  <c r="AA33" i="10" s="1"/>
  <c r="X53" i="10"/>
  <c r="AA53" i="10" s="1"/>
  <c r="X116" i="10"/>
  <c r="AA116" i="10" s="1"/>
  <c r="X100" i="10"/>
  <c r="AA100" i="10" s="1"/>
  <c r="X65" i="10"/>
  <c r="Y65" i="10" s="1"/>
  <c r="X126" i="10"/>
  <c r="AA126" i="10" s="1"/>
  <c r="X77" i="10"/>
  <c r="Z77" i="10" s="1"/>
  <c r="X56" i="10"/>
  <c r="Y56" i="10" s="1"/>
  <c r="X73" i="10"/>
  <c r="Y73" i="10" s="1"/>
  <c r="X68" i="10"/>
  <c r="Z68" i="10" s="1"/>
  <c r="X106" i="10"/>
  <c r="AA106" i="10" s="1"/>
  <c r="X128" i="10"/>
  <c r="Z128" i="10" s="1"/>
  <c r="X90" i="10"/>
  <c r="AA90" i="10" s="1"/>
  <c r="X63" i="10"/>
  <c r="Y63" i="10" s="1"/>
  <c r="X23" i="10"/>
  <c r="Y23" i="10" s="1"/>
  <c r="X125" i="10"/>
  <c r="Z125" i="10" s="1"/>
  <c r="X87" i="10"/>
  <c r="Y87" i="10" s="1"/>
  <c r="X54" i="10"/>
  <c r="AA54" i="10" s="1"/>
  <c r="X36" i="10"/>
  <c r="Z36" i="10" s="1"/>
  <c r="X114" i="10"/>
  <c r="Z114" i="10" s="1"/>
  <c r="X49" i="10"/>
  <c r="Z49" i="10" s="1"/>
  <c r="X62" i="10"/>
  <c r="Z62" i="10" s="1"/>
  <c r="X9" i="10"/>
  <c r="AA9" i="10" s="1"/>
  <c r="X122" i="10"/>
  <c r="AA122" i="10" s="1"/>
  <c r="X41" i="10"/>
  <c r="Y41" i="10" s="1"/>
  <c r="X96" i="10"/>
  <c r="AA96" i="10" s="1"/>
  <c r="X108" i="10"/>
  <c r="Y108" i="10" s="1"/>
  <c r="X60" i="10"/>
  <c r="AA60" i="10" s="1"/>
  <c r="X57" i="10"/>
  <c r="Z57" i="10" s="1"/>
  <c r="X13" i="10"/>
  <c r="Z13" i="10" s="1"/>
  <c r="X104" i="10"/>
  <c r="Z104" i="10" s="1"/>
  <c r="X86" i="10"/>
  <c r="Z86" i="10" s="1"/>
  <c r="X71" i="10"/>
  <c r="Z71" i="10" s="1"/>
  <c r="X12" i="10"/>
  <c r="AA12" i="10" s="1"/>
  <c r="X74" i="10"/>
  <c r="AA74" i="10" s="1"/>
  <c r="X20" i="10"/>
  <c r="AA20" i="10" s="1"/>
  <c r="X111" i="10"/>
  <c r="Y111" i="10" s="1"/>
  <c r="X28" i="10"/>
  <c r="Y28" i="10" s="1"/>
  <c r="X58" i="10"/>
  <c r="Z58" i="10" s="1"/>
  <c r="X113" i="10"/>
  <c r="Y113" i="10" s="1"/>
  <c r="X117" i="10"/>
  <c r="AA117" i="10" s="1"/>
  <c r="X112" i="10"/>
  <c r="Y112" i="10" s="1"/>
  <c r="X72" i="10"/>
  <c r="AA72" i="10" s="1"/>
  <c r="X50" i="10"/>
  <c r="Z50" i="10" s="1"/>
  <c r="X44" i="10"/>
  <c r="AA44" i="10" s="1"/>
  <c r="X29" i="10"/>
  <c r="Y29" i="10" s="1"/>
  <c r="X10" i="10"/>
  <c r="Z10" i="10" s="1"/>
  <c r="X110" i="10"/>
  <c r="AA110" i="10" s="1"/>
  <c r="X97" i="10"/>
  <c r="Y97" i="10" s="1"/>
  <c r="X94" i="10"/>
  <c r="Y94" i="10" s="1"/>
  <c r="X102" i="10"/>
  <c r="Z102" i="10" s="1"/>
  <c r="X38" i="10"/>
  <c r="Y38" i="10" s="1"/>
  <c r="X18" i="10"/>
  <c r="Z18" i="10" s="1"/>
  <c r="X52" i="10"/>
  <c r="AA52" i="10" s="1"/>
  <c r="X85" i="10"/>
  <c r="Z85" i="10" s="1"/>
  <c r="X47" i="10"/>
  <c r="AA47" i="10" s="1"/>
  <c r="X34" i="10"/>
  <c r="X95" i="10"/>
  <c r="AA95" i="10" s="1"/>
  <c r="X98" i="10"/>
  <c r="AA98" i="10" s="1"/>
  <c r="X17" i="10"/>
  <c r="AA17" i="10" s="1"/>
  <c r="X124" i="10"/>
  <c r="AA124" i="10" s="1"/>
  <c r="X55" i="10"/>
  <c r="AA55" i="10" s="1"/>
  <c r="X91" i="10"/>
  <c r="Z91" i="10" s="1"/>
  <c r="X99" i="10"/>
  <c r="AA99" i="10" s="1"/>
  <c r="X19" i="10"/>
  <c r="Z19" i="10" s="1"/>
  <c r="X67" i="10"/>
  <c r="AA67" i="10" s="1"/>
  <c r="X103" i="10"/>
  <c r="Y103" i="10" s="1"/>
  <c r="X81" i="10"/>
  <c r="Y81" i="10" s="1"/>
  <c r="X127" i="10"/>
  <c r="AA127" i="10" s="1"/>
  <c r="X105" i="10"/>
  <c r="Z105" i="10" s="1"/>
  <c r="X83" i="10"/>
  <c r="Z83" i="10" s="1"/>
  <c r="X75" i="10"/>
  <c r="Y75" i="10" s="1"/>
  <c r="X45" i="10"/>
  <c r="Z45" i="10" s="1"/>
  <c r="X59" i="10"/>
  <c r="Z59" i="10" s="1"/>
  <c r="X32" i="10"/>
  <c r="Y32" i="10" s="1"/>
  <c r="X16" i="10"/>
  <c r="Z16" i="10" s="1"/>
  <c r="X119" i="10"/>
  <c r="Y119" i="10" s="1"/>
  <c r="X101" i="10"/>
  <c r="Y101" i="10" s="1"/>
  <c r="X79" i="10"/>
  <c r="Y79" i="10" s="1"/>
  <c r="X64" i="10"/>
  <c r="Z64" i="10" s="1"/>
  <c r="X40" i="10"/>
  <c r="AA40" i="10" s="1"/>
  <c r="X37" i="10"/>
  <c r="Z37" i="10" s="1"/>
  <c r="X26" i="10"/>
  <c r="AA26" i="10" s="1"/>
  <c r="X15" i="10"/>
  <c r="Y15" i="10" s="1"/>
  <c r="X107" i="10"/>
  <c r="Z107" i="10" s="1"/>
  <c r="X80" i="10"/>
  <c r="AA80" i="10" s="1"/>
  <c r="X69" i="10"/>
  <c r="Z69" i="10" s="1"/>
  <c r="X25" i="10"/>
  <c r="Y25" i="10" s="1"/>
  <c r="X118" i="10"/>
  <c r="AA118" i="10" s="1"/>
  <c r="X89" i="10"/>
  <c r="AA89" i="10" s="1"/>
  <c r="X35" i="10"/>
  <c r="AA35" i="10" s="1"/>
  <c r="X30" i="10"/>
  <c r="Y30" i="10" s="1"/>
  <c r="X82" i="10"/>
  <c r="Y82" i="10" s="1"/>
  <c r="X22" i="10"/>
  <c r="Y22" i="10" s="1"/>
  <c r="X8" i="10"/>
  <c r="AA8" i="10" s="1"/>
  <c r="X39" i="10"/>
  <c r="Z39" i="10" s="1"/>
  <c r="X14" i="10"/>
  <c r="Z14" i="10" s="1"/>
  <c r="X43" i="10"/>
  <c r="Y43" i="10" s="1"/>
  <c r="X121" i="10"/>
  <c r="X78" i="10"/>
  <c r="Q87" i="8"/>
  <c r="R87" i="8" s="1"/>
  <c r="O119" i="8"/>
  <c r="O62" i="8"/>
  <c r="S30" i="8"/>
  <c r="T30" i="8" s="1"/>
  <c r="S61" i="8"/>
  <c r="T61" i="8" s="1"/>
  <c r="S9" i="8"/>
  <c r="T9" i="8" s="1"/>
  <c r="AI17" i="8"/>
  <c r="AJ17" i="8" s="1"/>
  <c r="S79" i="8"/>
  <c r="T79" i="8" s="1"/>
  <c r="AI14" i="8"/>
  <c r="AJ14" i="8" s="1"/>
  <c r="O14" i="8"/>
  <c r="O41" i="8"/>
  <c r="AI112" i="8"/>
  <c r="AJ112" i="8" s="1"/>
  <c r="O112" i="8"/>
  <c r="AI126" i="8"/>
  <c r="AJ126" i="8" s="1"/>
  <c r="S8" i="8"/>
  <c r="T8" i="8" s="1"/>
  <c r="Q104" i="8"/>
  <c r="R104" i="8" s="1"/>
  <c r="AI22" i="8"/>
  <c r="AJ22" i="8" s="1"/>
  <c r="S42" i="8"/>
  <c r="T42" i="8" s="1"/>
  <c r="O22" i="8"/>
  <c r="O125" i="8"/>
  <c r="S62" i="8"/>
  <c r="T62" i="8" s="1"/>
  <c r="Q26" i="8"/>
  <c r="R26" i="8" s="1"/>
  <c r="AI107" i="8"/>
  <c r="AJ107" i="8" s="1"/>
  <c r="Q43" i="8"/>
  <c r="R43" i="8" s="1"/>
  <c r="AI92" i="8"/>
  <c r="AJ92" i="8" s="1"/>
  <c r="S92" i="8"/>
  <c r="T92" i="8" s="1"/>
  <c r="S64" i="8"/>
  <c r="T64" i="8" s="1"/>
  <c r="AI97" i="8"/>
  <c r="AJ97" i="8" s="1"/>
  <c r="O107" i="8"/>
  <c r="AI26" i="8"/>
  <c r="AJ26" i="8" s="1"/>
  <c r="O29" i="8"/>
  <c r="Q102" i="8"/>
  <c r="R102" i="8" s="1"/>
  <c r="AI118" i="8"/>
  <c r="AJ118" i="8" s="1"/>
  <c r="O61" i="8"/>
  <c r="O39" i="8"/>
  <c r="Q34" i="8"/>
  <c r="R34" i="8" s="1"/>
  <c r="AI58" i="8"/>
  <c r="AJ58" i="8" s="1"/>
  <c r="O17" i="8"/>
  <c r="S77" i="8"/>
  <c r="T77" i="8" s="1"/>
  <c r="S117" i="8"/>
  <c r="T117" i="8" s="1"/>
  <c r="AI77" i="8"/>
  <c r="AJ77" i="8" s="1"/>
  <c r="AI117" i="8"/>
  <c r="AJ117" i="8" s="1"/>
  <c r="O43" i="8"/>
  <c r="Q27" i="8"/>
  <c r="R27" i="8" s="1"/>
  <c r="AI62" i="8"/>
  <c r="AJ62" i="8" s="1"/>
  <c r="O117" i="8"/>
  <c r="S128" i="8"/>
  <c r="T128" i="8" s="1"/>
  <c r="Q115" i="8"/>
  <c r="R115" i="8" s="1"/>
  <c r="Q83" i="8"/>
  <c r="R83" i="8" s="1"/>
  <c r="Q84" i="8"/>
  <c r="R84" i="8" s="1"/>
  <c r="AI96" i="8"/>
  <c r="AJ96" i="8" s="1"/>
  <c r="S68" i="8"/>
  <c r="T68" i="8" s="1"/>
  <c r="S36" i="8"/>
  <c r="T36" i="8" s="1"/>
  <c r="S10" i="8"/>
  <c r="T10" i="8" s="1"/>
  <c r="S96" i="8"/>
  <c r="T96" i="8" s="1"/>
  <c r="S86" i="8"/>
  <c r="T86" i="8" s="1"/>
  <c r="AI86" i="8"/>
  <c r="AJ86" i="8" s="1"/>
  <c r="S116" i="8"/>
  <c r="T116" i="8" s="1"/>
  <c r="O10" i="8"/>
  <c r="O52" i="8"/>
  <c r="S23" i="8"/>
  <c r="T23" i="8" s="1"/>
  <c r="S114" i="8"/>
  <c r="T114" i="8" s="1"/>
  <c r="AI68" i="8"/>
  <c r="AJ68" i="8" s="1"/>
  <c r="O89" i="8"/>
  <c r="AI49" i="8"/>
  <c r="AJ49" i="8" s="1"/>
  <c r="H8" i="10"/>
  <c r="I8" i="10" s="1"/>
  <c r="AF8" i="10" s="1"/>
  <c r="AA61" i="10"/>
  <c r="AI114" i="8"/>
  <c r="AJ114" i="8" s="1"/>
  <c r="S16" i="8"/>
  <c r="T16" i="8" s="1"/>
  <c r="S80" i="8"/>
  <c r="T80" i="8" s="1"/>
  <c r="AI47" i="8"/>
  <c r="AJ47" i="8" s="1"/>
  <c r="O111" i="8"/>
  <c r="O120" i="8"/>
  <c r="S32" i="8"/>
  <c r="T32" i="8" s="1"/>
  <c r="S50" i="8"/>
  <c r="T50" i="8" s="1"/>
  <c r="Y61" i="10"/>
  <c r="AI74" i="8"/>
  <c r="AJ74" i="8" s="1"/>
  <c r="AI23" i="8"/>
  <c r="AJ23" i="8" s="1"/>
  <c r="O102" i="8"/>
  <c r="S28" i="8"/>
  <c r="T28" i="8" s="1"/>
  <c r="Q95" i="8"/>
  <c r="R95" i="8" s="1"/>
  <c r="AI104" i="8"/>
  <c r="AJ104" i="8" s="1"/>
  <c r="O33" i="8"/>
  <c r="O84" i="8"/>
  <c r="S71" i="8"/>
  <c r="T71" i="8" s="1"/>
  <c r="AI33" i="8"/>
  <c r="AJ33" i="8" s="1"/>
  <c r="AI54" i="8"/>
  <c r="AJ54" i="8" s="1"/>
  <c r="O93" i="8"/>
  <c r="O71" i="8"/>
  <c r="Q58" i="8"/>
  <c r="R58" i="8" s="1"/>
  <c r="Q38" i="8"/>
  <c r="R38" i="8" s="1"/>
  <c r="S18" i="8"/>
  <c r="T18" i="8" s="1"/>
  <c r="Q120" i="8"/>
  <c r="R120" i="8" s="1"/>
  <c r="O49" i="8"/>
  <c r="AI71" i="8"/>
  <c r="AJ71" i="8" s="1"/>
  <c r="AI84" i="8"/>
  <c r="AJ84" i="8" s="1"/>
  <c r="AI32" i="8"/>
  <c r="AJ32" i="8" s="1"/>
  <c r="AI93" i="8"/>
  <c r="AJ93" i="8" s="1"/>
  <c r="O32" i="8"/>
  <c r="S20" i="8"/>
  <c r="T20" i="8" s="1"/>
  <c r="AI50" i="8"/>
  <c r="AJ50" i="8" s="1"/>
  <c r="O68" i="8"/>
  <c r="O63" i="8"/>
  <c r="O50" i="8"/>
  <c r="O58" i="8"/>
  <c r="H16" i="10"/>
  <c r="H109" i="10"/>
  <c r="H39" i="10"/>
  <c r="H108" i="10"/>
  <c r="H28" i="10"/>
  <c r="H114" i="10"/>
  <c r="H44" i="10"/>
  <c r="H118" i="10"/>
  <c r="H46" i="10"/>
  <c r="H119" i="10"/>
  <c r="H81" i="10"/>
  <c r="H128" i="10"/>
  <c r="H55" i="10"/>
  <c r="S97" i="8"/>
  <c r="T97" i="8" s="1"/>
  <c r="H59" i="10"/>
  <c r="H18" i="10"/>
  <c r="H76" i="10"/>
  <c r="H21" i="10"/>
  <c r="H71" i="10"/>
  <c r="H12" i="10"/>
  <c r="H80" i="10"/>
  <c r="H29" i="10"/>
  <c r="H82" i="10"/>
  <c r="H96" i="10"/>
  <c r="H93" i="10"/>
  <c r="H14" i="10"/>
  <c r="H87" i="10"/>
  <c r="H53" i="10"/>
  <c r="H107" i="10"/>
  <c r="H60" i="10"/>
  <c r="J60" i="10" s="1"/>
  <c r="S60" i="10" s="1"/>
  <c r="T60" i="10" s="1"/>
  <c r="H110" i="10"/>
  <c r="J110" i="10" s="1"/>
  <c r="S110" i="10" s="1"/>
  <c r="T110" i="10" s="1"/>
  <c r="H47" i="10"/>
  <c r="J47" i="10" s="1"/>
  <c r="H126" i="10"/>
  <c r="H42" i="10"/>
  <c r="H125" i="10"/>
  <c r="H41" i="10"/>
  <c r="J41" i="10" s="1"/>
  <c r="S41" i="10" s="1"/>
  <c r="T41" i="10" s="1"/>
  <c r="H75" i="10"/>
  <c r="I75" i="10" s="1"/>
  <c r="AF75" i="10" s="1"/>
  <c r="H26" i="10"/>
  <c r="J26" i="10" s="1"/>
  <c r="H98" i="10"/>
  <c r="I98" i="10" s="1"/>
  <c r="AF98" i="10" s="1"/>
  <c r="H33" i="10"/>
  <c r="H86" i="10"/>
  <c r="H15" i="10"/>
  <c r="H101" i="10"/>
  <c r="J101" i="10" s="1"/>
  <c r="S101" i="10" s="1"/>
  <c r="T101" i="10" s="1"/>
  <c r="H30" i="10"/>
  <c r="H68" i="10"/>
  <c r="H11" i="10"/>
  <c r="H92" i="10"/>
  <c r="J92" i="10" s="1"/>
  <c r="S92" i="10" s="1"/>
  <c r="T92" i="10" s="1"/>
  <c r="H20" i="10"/>
  <c r="J20" i="10" s="1"/>
  <c r="S20" i="10" s="1"/>
  <c r="T20" i="10" s="1"/>
  <c r="H77" i="10"/>
  <c r="J77" i="10" s="1"/>
  <c r="H50" i="10"/>
  <c r="I50" i="10" s="1"/>
  <c r="AF50" i="10" s="1"/>
  <c r="H78" i="10"/>
  <c r="J78" i="10" s="1"/>
  <c r="H62" i="10"/>
  <c r="I62" i="10" s="1"/>
  <c r="AF62" i="10" s="1"/>
  <c r="H97" i="10"/>
  <c r="H40" i="10"/>
  <c r="J40" i="10" s="1"/>
  <c r="S40" i="10" s="1"/>
  <c r="T40" i="10" s="1"/>
  <c r="H122" i="10"/>
  <c r="H38" i="10"/>
  <c r="H121" i="10"/>
  <c r="H52" i="10"/>
  <c r="I52" i="10" s="1"/>
  <c r="AF52" i="10" s="1"/>
  <c r="H127" i="10"/>
  <c r="J127" i="10" s="1"/>
  <c r="Q127" i="10" s="1"/>
  <c r="R127" i="10" s="1"/>
  <c r="H57" i="10"/>
  <c r="O54" i="8"/>
  <c r="H23" i="10"/>
  <c r="H89" i="10"/>
  <c r="H31" i="10"/>
  <c r="H84" i="10"/>
  <c r="H24" i="10"/>
  <c r="H95" i="10"/>
  <c r="H27" i="10"/>
  <c r="H104" i="10"/>
  <c r="H35" i="10"/>
  <c r="H106" i="10"/>
  <c r="H72" i="10"/>
  <c r="H111" i="10"/>
  <c r="H54" i="10"/>
  <c r="H112" i="10"/>
  <c r="H69" i="10"/>
  <c r="H120" i="10"/>
  <c r="H70" i="10"/>
  <c r="H124" i="10"/>
  <c r="H51" i="10"/>
  <c r="H32" i="10"/>
  <c r="H63" i="10"/>
  <c r="H36" i="10"/>
  <c r="H73" i="10"/>
  <c r="H9" i="10"/>
  <c r="H99" i="10"/>
  <c r="H25" i="10"/>
  <c r="I25" i="10" s="1"/>
  <c r="AF25" i="10" s="1"/>
  <c r="H113" i="10"/>
  <c r="H43" i="10"/>
  <c r="H105" i="10"/>
  <c r="H56" i="10"/>
  <c r="H115" i="10"/>
  <c r="H64" i="10"/>
  <c r="H116" i="10"/>
  <c r="H48" i="10"/>
  <c r="H123" i="10"/>
  <c r="H94" i="10"/>
  <c r="H74" i="10"/>
  <c r="H65" i="10"/>
  <c r="H10" i="10"/>
  <c r="H67" i="10"/>
  <c r="H17" i="10"/>
  <c r="H100" i="10"/>
  <c r="H34" i="10"/>
  <c r="H83" i="10"/>
  <c r="H45" i="10"/>
  <c r="H90" i="10"/>
  <c r="H66" i="10"/>
  <c r="H91" i="10"/>
  <c r="H13" i="10"/>
  <c r="H88" i="10"/>
  <c r="H103" i="10"/>
  <c r="H102" i="10"/>
  <c r="H37" i="10"/>
  <c r="H117" i="10"/>
  <c r="H49" i="10"/>
  <c r="H19" i="10"/>
  <c r="I19" i="10" s="1"/>
  <c r="AF19" i="10" s="1"/>
  <c r="H61" i="10"/>
  <c r="H22" i="10"/>
  <c r="H79" i="10"/>
  <c r="H58" i="10"/>
  <c r="H85" i="10"/>
  <c r="AI103" i="8"/>
  <c r="AJ103" i="8" s="1"/>
  <c r="AI34" i="8"/>
  <c r="AJ34" i="8" s="1"/>
  <c r="AI127" i="8"/>
  <c r="AJ127" i="8" s="1"/>
  <c r="O95" i="8"/>
  <c r="S72" i="8"/>
  <c r="T72" i="8" s="1"/>
  <c r="Q124" i="8"/>
  <c r="R124" i="8" s="1"/>
  <c r="AI95" i="8"/>
  <c r="AJ95" i="8" s="1"/>
  <c r="AI111" i="8"/>
  <c r="AJ111" i="8" s="1"/>
  <c r="AI83" i="8"/>
  <c r="AJ83" i="8" s="1"/>
  <c r="AI79" i="8"/>
  <c r="AJ79" i="8" s="1"/>
  <c r="O64" i="8"/>
  <c r="O72" i="8"/>
  <c r="O23" i="8"/>
  <c r="AI64" i="8"/>
  <c r="AJ64" i="8" s="1"/>
  <c r="O114" i="8"/>
  <c r="O103" i="8"/>
  <c r="O20" i="8"/>
  <c r="O34" i="8"/>
  <c r="Q56" i="8"/>
  <c r="R56" i="8" s="1"/>
  <c r="Q67" i="8"/>
  <c r="R67" i="8" s="1"/>
  <c r="Q70" i="8"/>
  <c r="R70" i="8" s="1"/>
  <c r="S106" i="8"/>
  <c r="T106" i="8" s="1"/>
  <c r="S81" i="8"/>
  <c r="T81" i="8" s="1"/>
  <c r="S78" i="8"/>
  <c r="T78" i="8" s="1"/>
  <c r="AI122" i="8"/>
  <c r="AJ122" i="8" s="1"/>
  <c r="AI44" i="8"/>
  <c r="AJ44" i="8" s="1"/>
  <c r="AI115" i="8"/>
  <c r="AJ115" i="8" s="1"/>
  <c r="AI113" i="8"/>
  <c r="AJ113" i="8" s="1"/>
  <c r="O123" i="8"/>
  <c r="O16" i="8"/>
  <c r="O56" i="8"/>
  <c r="S12" i="8"/>
  <c r="T12" i="8" s="1"/>
  <c r="S59" i="8"/>
  <c r="T59" i="8" s="1"/>
  <c r="Q47" i="8"/>
  <c r="R47" i="8" s="1"/>
  <c r="S122" i="8"/>
  <c r="T122" i="8" s="1"/>
  <c r="AI15" i="8"/>
  <c r="AJ15" i="8" s="1"/>
  <c r="AI70" i="8"/>
  <c r="AJ70" i="8" s="1"/>
  <c r="O115" i="8"/>
  <c r="O106" i="8"/>
  <c r="O12" i="8"/>
  <c r="O69" i="8"/>
  <c r="O75" i="8"/>
  <c r="O100" i="8"/>
  <c r="O44" i="8"/>
  <c r="S105" i="8"/>
  <c r="T105" i="8" s="1"/>
  <c r="O15" i="8"/>
  <c r="Q54" i="8"/>
  <c r="R54" i="8" s="1"/>
  <c r="AI65" i="8"/>
  <c r="AJ65" i="8" s="1"/>
  <c r="O36" i="8"/>
  <c r="O122" i="8"/>
  <c r="S111" i="8"/>
  <c r="T111" i="8" s="1"/>
  <c r="S60" i="8"/>
  <c r="T60" i="8" s="1"/>
  <c r="S44" i="8"/>
  <c r="T44" i="8" s="1"/>
  <c r="AI36" i="8"/>
  <c r="AJ36" i="8" s="1"/>
  <c r="S65" i="8"/>
  <c r="T65" i="8" s="1"/>
  <c r="AI56" i="8"/>
  <c r="AJ56" i="8" s="1"/>
  <c r="O70" i="8"/>
  <c r="O57" i="8"/>
  <c r="AI72" i="8"/>
  <c r="AJ72" i="8" s="1"/>
  <c r="AI57" i="8"/>
  <c r="AJ57" i="8" s="1"/>
  <c r="Q37" i="8"/>
  <c r="R37" i="8" s="1"/>
  <c r="AI82" i="8"/>
  <c r="AJ82" i="8" s="1"/>
  <c r="O83" i="8"/>
  <c r="AI124" i="8"/>
  <c r="AJ124" i="8" s="1"/>
  <c r="AI16" i="8"/>
  <c r="AJ16" i="8" s="1"/>
  <c r="O37" i="8"/>
  <c r="AI99" i="8"/>
  <c r="AJ99" i="8" s="1"/>
  <c r="S93" i="8"/>
  <c r="T93" i="8" s="1"/>
  <c r="S118" i="8"/>
  <c r="T118" i="8" s="1"/>
  <c r="S123" i="8"/>
  <c r="T123" i="8" s="1"/>
  <c r="O124" i="8"/>
  <c r="O99" i="8"/>
  <c r="AI37" i="8"/>
  <c r="AJ37" i="8" s="1"/>
  <c r="S74" i="8"/>
  <c r="T74" i="8" s="1"/>
  <c r="AI11" i="8"/>
  <c r="AJ11" i="8" s="1"/>
  <c r="AI78" i="8"/>
  <c r="AJ78" i="8" s="1"/>
  <c r="O127" i="8"/>
  <c r="O11" i="8"/>
  <c r="O74" i="8"/>
  <c r="AI24" i="8"/>
  <c r="AJ24" i="8" s="1"/>
  <c r="O24" i="8"/>
  <c r="AI67" i="8"/>
  <c r="AJ67" i="8" s="1"/>
  <c r="O67" i="8"/>
  <c r="O82" i="8"/>
  <c r="O46" i="8"/>
  <c r="S46" i="8"/>
  <c r="T46" i="8" s="1"/>
  <c r="AI128" i="8"/>
  <c r="AJ128" i="8" s="1"/>
  <c r="AI105" i="8"/>
  <c r="AJ105" i="8" s="1"/>
  <c r="O65" i="8"/>
  <c r="AI46" i="8"/>
  <c r="AJ46" i="8" s="1"/>
  <c r="O105" i="8"/>
  <c r="O128" i="8"/>
  <c r="P19" i="8"/>
  <c r="P48" i="8"/>
  <c r="P80" i="8"/>
  <c r="P81" i="8"/>
  <c r="P98" i="8"/>
  <c r="P55" i="8"/>
  <c r="P59" i="8"/>
  <c r="P27" i="8"/>
  <c r="P108" i="8"/>
  <c r="P21" i="8"/>
  <c r="P28" i="8"/>
  <c r="P85" i="8"/>
  <c r="P35" i="8"/>
  <c r="P31" i="8"/>
  <c r="P42" i="8"/>
  <c r="P18" i="8"/>
  <c r="P91" i="8"/>
  <c r="P66" i="8"/>
  <c r="P51" i="8"/>
  <c r="P60" i="8"/>
  <c r="P38" i="8"/>
  <c r="P94" i="8"/>
  <c r="P116" i="8"/>
  <c r="Y123" i="8"/>
  <c r="Z123" i="8"/>
  <c r="Y67" i="8"/>
  <c r="Z67" i="8"/>
  <c r="Y127" i="8"/>
  <c r="Z127" i="8"/>
  <c r="Y95" i="8"/>
  <c r="Z95" i="8"/>
  <c r="Y63" i="8"/>
  <c r="Z63" i="8"/>
  <c r="Y31" i="8"/>
  <c r="Z31" i="8"/>
  <c r="Y117" i="8"/>
  <c r="Z117" i="8"/>
  <c r="Y85" i="8"/>
  <c r="Z85" i="8"/>
  <c r="Y53" i="8"/>
  <c r="Z53" i="8"/>
  <c r="Y21" i="8"/>
  <c r="Z21" i="8"/>
  <c r="Y83" i="8"/>
  <c r="Z83" i="8"/>
  <c r="Y11" i="8"/>
  <c r="Z11" i="8"/>
  <c r="Y105" i="8"/>
  <c r="Z105" i="8"/>
  <c r="Y73" i="8"/>
  <c r="Z73" i="8"/>
  <c r="Y41" i="8"/>
  <c r="Z41" i="8"/>
  <c r="Y9" i="8"/>
  <c r="Z9" i="8"/>
  <c r="Z114" i="8"/>
  <c r="Y114" i="8"/>
  <c r="Z98" i="8"/>
  <c r="Y98" i="8"/>
  <c r="Y82" i="8"/>
  <c r="Z82" i="8"/>
  <c r="Y66" i="8"/>
  <c r="Z66" i="8"/>
  <c r="Y50" i="8"/>
  <c r="Z50" i="8"/>
  <c r="Y34" i="8"/>
  <c r="Z34" i="8"/>
  <c r="Y18" i="8"/>
  <c r="Z18" i="8"/>
  <c r="Z124" i="8"/>
  <c r="Y124" i="8"/>
  <c r="Z108" i="8"/>
  <c r="Y108" i="8"/>
  <c r="Z92" i="8"/>
  <c r="Y92" i="8"/>
  <c r="Z76" i="8"/>
  <c r="Y76" i="8"/>
  <c r="Z60" i="8"/>
  <c r="Y60" i="8"/>
  <c r="Z44" i="8"/>
  <c r="Y44" i="8"/>
  <c r="Z28" i="8"/>
  <c r="Y28" i="8"/>
  <c r="Z12" i="8"/>
  <c r="Y12" i="8"/>
  <c r="Y107" i="8"/>
  <c r="Z107" i="8"/>
  <c r="Y59" i="8"/>
  <c r="Z59" i="8"/>
  <c r="Y119" i="8"/>
  <c r="Z119" i="8"/>
  <c r="Y87" i="8"/>
  <c r="Z87" i="8"/>
  <c r="Y55" i="8"/>
  <c r="Z55" i="8"/>
  <c r="Y23" i="8"/>
  <c r="Z23" i="8"/>
  <c r="Y109" i="8"/>
  <c r="Z109" i="8"/>
  <c r="Y77" i="8"/>
  <c r="Z77" i="8"/>
  <c r="Y45" i="8"/>
  <c r="Z45" i="8"/>
  <c r="Y13" i="8"/>
  <c r="Z13" i="8"/>
  <c r="Y51" i="8"/>
  <c r="Z51" i="8"/>
  <c r="Y8" i="8"/>
  <c r="Z8" i="8"/>
  <c r="Y97" i="8"/>
  <c r="Z97" i="8"/>
  <c r="Y65" i="8"/>
  <c r="Z65" i="8"/>
  <c r="Y33" i="8"/>
  <c r="Z33" i="8"/>
  <c r="Z126" i="8"/>
  <c r="Y126" i="8"/>
  <c r="Z110" i="8"/>
  <c r="Y110" i="8"/>
  <c r="Z94" i="8"/>
  <c r="Y94" i="8"/>
  <c r="Y78" i="8"/>
  <c r="Z78" i="8"/>
  <c r="Y62" i="8"/>
  <c r="Z62" i="8"/>
  <c r="Y46" i="8"/>
  <c r="Z46" i="8"/>
  <c r="Y30" i="8"/>
  <c r="Z30" i="8"/>
  <c r="Y14" i="8"/>
  <c r="Z14" i="8"/>
  <c r="Z120" i="8"/>
  <c r="Y120" i="8"/>
  <c r="Z104" i="8"/>
  <c r="Y104" i="8"/>
  <c r="Z88" i="8"/>
  <c r="Y88" i="8"/>
  <c r="Z72" i="8"/>
  <c r="Y72" i="8"/>
  <c r="Z56" i="8"/>
  <c r="Y56" i="8"/>
  <c r="Z40" i="8"/>
  <c r="Y40" i="8"/>
  <c r="Z24" i="8"/>
  <c r="Y24" i="8"/>
  <c r="Y91" i="8"/>
  <c r="Z91" i="8"/>
  <c r="Y43" i="8"/>
  <c r="Z43" i="8"/>
  <c r="Y111" i="8"/>
  <c r="Z111" i="8"/>
  <c r="Y79" i="8"/>
  <c r="Z79" i="8"/>
  <c r="Y47" i="8"/>
  <c r="Z47" i="8"/>
  <c r="Y15" i="8"/>
  <c r="Z15" i="8"/>
  <c r="Y101" i="8"/>
  <c r="Z101" i="8"/>
  <c r="Y69" i="8"/>
  <c r="Z69" i="8"/>
  <c r="Y37" i="8"/>
  <c r="Z37" i="8"/>
  <c r="Y115" i="8"/>
  <c r="Z115" i="8"/>
  <c r="Y35" i="8"/>
  <c r="Z35" i="8"/>
  <c r="Y121" i="8"/>
  <c r="Z121" i="8"/>
  <c r="Y89" i="8"/>
  <c r="Z89" i="8"/>
  <c r="Y57" i="8"/>
  <c r="Z57" i="8"/>
  <c r="Y25" i="8"/>
  <c r="Z25" i="8"/>
  <c r="Z122" i="8"/>
  <c r="Y122" i="8"/>
  <c r="Z106" i="8"/>
  <c r="Y106" i="8"/>
  <c r="Z90" i="8"/>
  <c r="Y90" i="8"/>
  <c r="Y74" i="8"/>
  <c r="Z74" i="8"/>
  <c r="Y58" i="8"/>
  <c r="Z58" i="8"/>
  <c r="Y42" i="8"/>
  <c r="Z42" i="8"/>
  <c r="Y26" i="8"/>
  <c r="Z26" i="8"/>
  <c r="Y10" i="8"/>
  <c r="Z10" i="8"/>
  <c r="Z116" i="8"/>
  <c r="Y116" i="8"/>
  <c r="Z100" i="8"/>
  <c r="Y100" i="8"/>
  <c r="Z84" i="8"/>
  <c r="Y84" i="8"/>
  <c r="Z68" i="8"/>
  <c r="Y68" i="8"/>
  <c r="Z52" i="8"/>
  <c r="Y52" i="8"/>
  <c r="Z36" i="8"/>
  <c r="Y36" i="8"/>
  <c r="Z20" i="8"/>
  <c r="Y20" i="8"/>
  <c r="Y75" i="8"/>
  <c r="Z75" i="8"/>
  <c r="Y19" i="8"/>
  <c r="Z19" i="8"/>
  <c r="Y103" i="8"/>
  <c r="Z103" i="8"/>
  <c r="Y71" i="8"/>
  <c r="Z71" i="8"/>
  <c r="Y39" i="8"/>
  <c r="Z39" i="8"/>
  <c r="Y125" i="8"/>
  <c r="Z125" i="8"/>
  <c r="Y93" i="8"/>
  <c r="Z93" i="8"/>
  <c r="Y61" i="8"/>
  <c r="Z61" i="8"/>
  <c r="Y29" i="8"/>
  <c r="Z29" i="8"/>
  <c r="Y99" i="8"/>
  <c r="Z99" i="8"/>
  <c r="Y27" i="8"/>
  <c r="Z27" i="8"/>
  <c r="Y113" i="8"/>
  <c r="Z113" i="8"/>
  <c r="Y81" i="8"/>
  <c r="Z81" i="8"/>
  <c r="Y49" i="8"/>
  <c r="Z49" i="8"/>
  <c r="Y17" i="8"/>
  <c r="Z17" i="8"/>
  <c r="Z118" i="8"/>
  <c r="Y118" i="8"/>
  <c r="Z102" i="8"/>
  <c r="Y102" i="8"/>
  <c r="Y86" i="8"/>
  <c r="Z86" i="8"/>
  <c r="Y70" i="8"/>
  <c r="Z70" i="8"/>
  <c r="Y54" i="8"/>
  <c r="Z54" i="8"/>
  <c r="Y38" i="8"/>
  <c r="Z38" i="8"/>
  <c r="Y22" i="8"/>
  <c r="Z22" i="8"/>
  <c r="Z128" i="8"/>
  <c r="Y128" i="8"/>
  <c r="Z112" i="8"/>
  <c r="Y112" i="8"/>
  <c r="Z96" i="8"/>
  <c r="Y96" i="8"/>
  <c r="Z80" i="8"/>
  <c r="Y80" i="8"/>
  <c r="Z64" i="8"/>
  <c r="Y64" i="8"/>
  <c r="Z48" i="8"/>
  <c r="Y48" i="8"/>
  <c r="Z32" i="8"/>
  <c r="Y32" i="8"/>
  <c r="Z16" i="8"/>
  <c r="Y16" i="8"/>
  <c r="P99" i="8" l="1"/>
  <c r="P12" i="8"/>
  <c r="P103" i="8"/>
  <c r="P72" i="8"/>
  <c r="P95" i="8"/>
  <c r="P63" i="8"/>
  <c r="P10" i="8"/>
  <c r="P29" i="8"/>
  <c r="P22" i="8"/>
  <c r="P92" i="8"/>
  <c r="P9" i="8"/>
  <c r="P90" i="8"/>
  <c r="P105" i="8"/>
  <c r="P67" i="8"/>
  <c r="P74" i="8"/>
  <c r="P124" i="8"/>
  <c r="P83" i="8"/>
  <c r="P100" i="8"/>
  <c r="P106" i="8"/>
  <c r="P56" i="8"/>
  <c r="P114" i="8"/>
  <c r="P64" i="8"/>
  <c r="P54" i="8"/>
  <c r="P68" i="8"/>
  <c r="P49" i="8"/>
  <c r="P117" i="8"/>
  <c r="P17" i="8"/>
  <c r="P61" i="8"/>
  <c r="P14" i="8"/>
  <c r="P119" i="8"/>
  <c r="P121" i="8"/>
  <c r="P26" i="8"/>
  <c r="P47" i="8"/>
  <c r="P40" i="8"/>
  <c r="P110" i="8"/>
  <c r="P53" i="8"/>
  <c r="P128" i="8"/>
  <c r="P82" i="8"/>
  <c r="P44" i="8"/>
  <c r="P32" i="8"/>
  <c r="P33" i="8"/>
  <c r="P102" i="8"/>
  <c r="P43" i="8"/>
  <c r="P39" i="8"/>
  <c r="P41" i="8"/>
  <c r="P62" i="8"/>
  <c r="P118" i="8"/>
  <c r="P76" i="8"/>
  <c r="P25" i="8"/>
  <c r="P11" i="8"/>
  <c r="P37" i="8"/>
  <c r="P57" i="8"/>
  <c r="P122" i="8"/>
  <c r="P15" i="8"/>
  <c r="P75" i="8"/>
  <c r="P115" i="8"/>
  <c r="P16" i="8"/>
  <c r="P34" i="8"/>
  <c r="P58" i="8"/>
  <c r="P71" i="8"/>
  <c r="P120" i="8"/>
  <c r="P107" i="8"/>
  <c r="P112" i="8"/>
  <c r="P77" i="8"/>
  <c r="P96" i="8"/>
  <c r="P113" i="8"/>
  <c r="P78" i="8"/>
  <c r="P101" i="8"/>
  <c r="P86" i="8"/>
  <c r="P79" i="8"/>
  <c r="P109" i="8"/>
  <c r="P45" i="8"/>
  <c r="P73" i="8"/>
  <c r="P87" i="8"/>
  <c r="P8" i="8"/>
  <c r="P65" i="8"/>
  <c r="P46" i="8"/>
  <c r="P24" i="8"/>
  <c r="P127" i="8"/>
  <c r="P70" i="8"/>
  <c r="P36" i="8"/>
  <c r="P69" i="8"/>
  <c r="P123" i="8"/>
  <c r="P20" i="8"/>
  <c r="P23" i="8"/>
  <c r="P50" i="8"/>
  <c r="P93" i="8"/>
  <c r="P84" i="8"/>
  <c r="P111" i="8"/>
  <c r="P89" i="8"/>
  <c r="P52" i="8"/>
  <c r="P125" i="8"/>
  <c r="P30" i="8"/>
  <c r="P104" i="8"/>
  <c r="P126" i="8"/>
  <c r="P97" i="8"/>
  <c r="P13" i="8"/>
  <c r="Z47" i="10"/>
  <c r="AI8" i="10"/>
  <c r="AJ8" i="10" s="1"/>
  <c r="O8" i="10"/>
  <c r="AA51" i="10"/>
  <c r="Y46" i="10"/>
  <c r="Z70" i="10"/>
  <c r="Y51" i="10"/>
  <c r="Z46" i="10"/>
  <c r="AA11" i="10"/>
  <c r="Y109" i="10"/>
  <c r="AA70" i="10"/>
  <c r="Y106" i="10"/>
  <c r="AA128" i="10"/>
  <c r="Z24" i="10"/>
  <c r="AA120" i="10"/>
  <c r="Z90" i="10"/>
  <c r="Y84" i="10"/>
  <c r="AA28" i="10"/>
  <c r="Z84" i="10"/>
  <c r="Y120" i="10"/>
  <c r="Z15" i="10"/>
  <c r="Y125" i="10"/>
  <c r="AA113" i="10"/>
  <c r="Z56" i="10"/>
  <c r="Z48" i="10"/>
  <c r="AA31" i="10"/>
  <c r="Z75" i="10"/>
  <c r="Z31" i="10"/>
  <c r="AA24" i="10"/>
  <c r="AA42" i="10"/>
  <c r="Y21" i="10"/>
  <c r="AA86" i="10"/>
  <c r="AA38" i="10"/>
  <c r="AA48" i="10"/>
  <c r="Z122" i="10"/>
  <c r="AA64" i="10"/>
  <c r="Y60" i="10"/>
  <c r="Z38" i="10"/>
  <c r="AA56" i="10"/>
  <c r="AA115" i="10"/>
  <c r="Z21" i="10"/>
  <c r="Y16" i="10"/>
  <c r="AA88" i="10"/>
  <c r="Z115" i="10"/>
  <c r="AA123" i="10"/>
  <c r="Y100" i="10"/>
  <c r="AA81" i="10"/>
  <c r="Y39" i="10"/>
  <c r="Z100" i="10"/>
  <c r="Y123" i="10"/>
  <c r="Z113" i="10"/>
  <c r="Z87" i="10"/>
  <c r="AA66" i="10"/>
  <c r="Y50" i="10"/>
  <c r="Y86" i="10"/>
  <c r="AA125" i="10"/>
  <c r="Z60" i="10"/>
  <c r="Y128" i="10"/>
  <c r="Y110" i="10"/>
  <c r="Y33" i="10"/>
  <c r="Y88" i="10"/>
  <c r="Z17" i="10"/>
  <c r="Z65" i="10"/>
  <c r="Y114" i="10"/>
  <c r="AA50" i="10"/>
  <c r="AA16" i="10"/>
  <c r="Z92" i="10"/>
  <c r="Z25" i="10"/>
  <c r="Y20" i="10"/>
  <c r="Z20" i="10"/>
  <c r="AA114" i="10"/>
  <c r="Z66" i="10"/>
  <c r="Y122" i="10"/>
  <c r="Y37" i="10"/>
  <c r="AA76" i="10"/>
  <c r="Z11" i="10"/>
  <c r="Y12" i="10"/>
  <c r="AA109" i="10"/>
  <c r="Z76" i="10"/>
  <c r="Y77" i="10"/>
  <c r="Y93" i="10"/>
  <c r="Z27" i="10"/>
  <c r="Y116" i="10"/>
  <c r="Z126" i="10"/>
  <c r="Y54" i="10"/>
  <c r="AA13" i="10"/>
  <c r="Y105" i="10"/>
  <c r="AA101" i="10"/>
  <c r="Z112" i="10"/>
  <c r="Z93" i="10"/>
  <c r="Y126" i="10"/>
  <c r="AA105" i="10"/>
  <c r="AA27" i="10"/>
  <c r="AA73" i="10"/>
  <c r="Y53" i="10"/>
  <c r="Z95" i="10"/>
  <c r="AA68" i="10"/>
  <c r="AA43" i="10"/>
  <c r="AA37" i="10"/>
  <c r="Z29" i="10"/>
  <c r="AA94" i="10"/>
  <c r="AA59" i="10"/>
  <c r="Z33" i="10"/>
  <c r="Z53" i="10"/>
  <c r="Y68" i="10"/>
  <c r="Y42" i="10"/>
  <c r="AA92" i="10"/>
  <c r="AA18" i="10"/>
  <c r="AA77" i="10"/>
  <c r="Y118" i="10"/>
  <c r="Y49" i="10"/>
  <c r="Z73" i="10"/>
  <c r="Y71" i="10"/>
  <c r="AA65" i="10"/>
  <c r="AA111" i="10"/>
  <c r="Z116" i="10"/>
  <c r="Z106" i="10"/>
  <c r="AA36" i="10"/>
  <c r="Z23" i="10"/>
  <c r="AA29" i="10"/>
  <c r="Z63" i="10"/>
  <c r="Y52" i="10"/>
  <c r="Y59" i="10"/>
  <c r="Y98" i="10"/>
  <c r="Z96" i="10"/>
  <c r="Y80" i="10"/>
  <c r="Y62" i="10"/>
  <c r="AA58" i="10"/>
  <c r="Z101" i="10"/>
  <c r="Y83" i="10"/>
  <c r="Z54" i="10"/>
  <c r="Z89" i="10"/>
  <c r="Y36" i="10"/>
  <c r="Z108" i="10"/>
  <c r="Y26" i="10"/>
  <c r="Z12" i="10"/>
  <c r="Y13" i="10"/>
  <c r="AA63" i="10"/>
  <c r="Y95" i="10"/>
  <c r="Z8" i="10"/>
  <c r="Z72" i="10"/>
  <c r="AA23" i="10"/>
  <c r="AA112" i="10"/>
  <c r="Z32" i="10"/>
  <c r="Z52" i="10"/>
  <c r="Z94" i="10"/>
  <c r="Y85" i="10"/>
  <c r="AA22" i="10"/>
  <c r="Y55" i="10"/>
  <c r="Y89" i="10"/>
  <c r="AA79" i="10"/>
  <c r="AA10" i="10"/>
  <c r="AA32" i="10"/>
  <c r="AA62" i="10"/>
  <c r="Z80" i="10"/>
  <c r="Y96" i="10"/>
  <c r="Z28" i="10"/>
  <c r="Z43" i="10"/>
  <c r="Z22" i="10"/>
  <c r="Z55" i="10"/>
  <c r="Z67" i="10"/>
  <c r="Y67" i="10"/>
  <c r="Y14" i="10"/>
  <c r="AA41" i="10"/>
  <c r="Y10" i="10"/>
  <c r="Y44" i="10"/>
  <c r="Y102" i="10"/>
  <c r="AA83" i="10"/>
  <c r="Y104" i="10"/>
  <c r="Y9" i="10"/>
  <c r="Y58" i="10"/>
  <c r="AA103" i="10"/>
  <c r="Y91" i="10"/>
  <c r="AA87" i="10"/>
  <c r="Y57" i="10"/>
  <c r="Y90" i="10"/>
  <c r="Z103" i="10"/>
  <c r="Z111" i="10"/>
  <c r="AA91" i="10"/>
  <c r="Z26" i="10"/>
  <c r="Z79" i="10"/>
  <c r="Y72" i="10"/>
  <c r="AA102" i="10"/>
  <c r="AA71" i="10"/>
  <c r="AA104" i="10"/>
  <c r="AA57" i="10"/>
  <c r="AA108" i="10"/>
  <c r="Z98" i="10"/>
  <c r="Y69" i="10"/>
  <c r="AA69" i="10"/>
  <c r="AA49" i="10"/>
  <c r="Z74" i="10"/>
  <c r="Y8" i="10"/>
  <c r="Z41" i="10"/>
  <c r="Y35" i="10"/>
  <c r="Z40" i="10"/>
  <c r="Z119" i="10"/>
  <c r="Z117" i="10"/>
  <c r="AA45" i="10"/>
  <c r="Z9" i="10"/>
  <c r="Z82" i="10"/>
  <c r="Z35" i="10"/>
  <c r="Y74" i="10"/>
  <c r="AA85" i="10"/>
  <c r="Z34" i="10"/>
  <c r="AA34" i="10"/>
  <c r="AA119" i="10"/>
  <c r="Z44" i="10"/>
  <c r="Y117" i="10"/>
  <c r="Y18" i="10"/>
  <c r="Z97" i="10"/>
  <c r="AA14" i="10"/>
  <c r="AA15" i="10"/>
  <c r="Y64" i="10"/>
  <c r="AA97" i="10"/>
  <c r="Z127" i="10"/>
  <c r="Z110" i="10"/>
  <c r="AA75" i="10"/>
  <c r="AA25" i="10"/>
  <c r="AA107" i="10"/>
  <c r="Z118" i="10"/>
  <c r="Z30" i="10"/>
  <c r="AA39" i="10"/>
  <c r="Y107" i="10"/>
  <c r="Y47" i="10"/>
  <c r="Y99" i="10"/>
  <c r="Y19" i="10"/>
  <c r="Y40" i="10"/>
  <c r="Y45" i="10"/>
  <c r="Y127" i="10"/>
  <c r="Y17" i="10"/>
  <c r="AA19" i="10"/>
  <c r="Z99" i="10"/>
  <c r="AA30" i="10"/>
  <c r="AA82" i="10"/>
  <c r="Y124" i="10"/>
  <c r="Z81" i="10"/>
  <c r="Z124" i="10"/>
  <c r="Y34" i="10"/>
  <c r="Z78" i="10"/>
  <c r="AA78" i="10"/>
  <c r="Y78" i="10"/>
  <c r="AA121" i="10"/>
  <c r="Y121" i="10"/>
  <c r="Z121" i="10"/>
  <c r="I60" i="10"/>
  <c r="AF60" i="10" s="1"/>
  <c r="AI50" i="10"/>
  <c r="AJ50" i="10" s="1"/>
  <c r="AG50" i="10"/>
  <c r="AI98" i="10"/>
  <c r="AJ98" i="10" s="1"/>
  <c r="L8" i="10"/>
  <c r="AD8" i="10" s="1"/>
  <c r="AE8" i="10" s="1"/>
  <c r="K8" i="10"/>
  <c r="U8" i="10" s="1"/>
  <c r="J8" i="10"/>
  <c r="Q8" i="10" s="1"/>
  <c r="Q92" i="10"/>
  <c r="R92" i="10" s="1"/>
  <c r="Q110" i="10"/>
  <c r="R110" i="10" s="1"/>
  <c r="S47" i="10"/>
  <c r="T47" i="10" s="1"/>
  <c r="Q47" i="10"/>
  <c r="R47" i="10" s="1"/>
  <c r="O50" i="10"/>
  <c r="P50" i="10" s="1"/>
  <c r="I26" i="10"/>
  <c r="AF26" i="10" s="1"/>
  <c r="Q41" i="10"/>
  <c r="R41" i="10" s="1"/>
  <c r="O52" i="10"/>
  <c r="P52" i="10" s="1"/>
  <c r="AI52" i="10"/>
  <c r="AJ52" i="10" s="1"/>
  <c r="S78" i="10"/>
  <c r="T78" i="10" s="1"/>
  <c r="Q78" i="10"/>
  <c r="R78" i="10" s="1"/>
  <c r="O25" i="10"/>
  <c r="P25" i="10" s="1"/>
  <c r="AI25" i="10"/>
  <c r="AJ25" i="10" s="1"/>
  <c r="I111" i="10"/>
  <c r="AF111" i="10" s="1"/>
  <c r="L111" i="10"/>
  <c r="AD111" i="10" s="1"/>
  <c r="AE111" i="10" s="1"/>
  <c r="J111" i="10"/>
  <c r="K111" i="10"/>
  <c r="U111" i="10" s="1"/>
  <c r="V111" i="10" s="1"/>
  <c r="I104" i="10"/>
  <c r="AF104" i="10" s="1"/>
  <c r="J104" i="10"/>
  <c r="L104" i="10"/>
  <c r="AD104" i="10" s="1"/>
  <c r="AE104" i="10" s="1"/>
  <c r="K104" i="10"/>
  <c r="U104" i="10" s="1"/>
  <c r="V104" i="10" s="1"/>
  <c r="I95" i="10"/>
  <c r="AF95" i="10" s="1"/>
  <c r="K95" i="10"/>
  <c r="U95" i="10" s="1"/>
  <c r="V95" i="10" s="1"/>
  <c r="J95" i="10"/>
  <c r="L95" i="10"/>
  <c r="AD95" i="10" s="1"/>
  <c r="AE95" i="10" s="1"/>
  <c r="J57" i="10"/>
  <c r="L57" i="10"/>
  <c r="AD57" i="10" s="1"/>
  <c r="AE57" i="10" s="1"/>
  <c r="K57" i="10"/>
  <c r="U57" i="10" s="1"/>
  <c r="V57" i="10" s="1"/>
  <c r="I57" i="10"/>
  <c r="AF57" i="10" s="1"/>
  <c r="L38" i="10"/>
  <c r="AD38" i="10" s="1"/>
  <c r="AE38" i="10" s="1"/>
  <c r="K38" i="10"/>
  <c r="U38" i="10" s="1"/>
  <c r="V38" i="10" s="1"/>
  <c r="I38" i="10"/>
  <c r="AF38" i="10" s="1"/>
  <c r="J38" i="10"/>
  <c r="AI62" i="10"/>
  <c r="AJ62" i="10" s="1"/>
  <c r="O62" i="10"/>
  <c r="P62" i="10" s="1"/>
  <c r="I96" i="10"/>
  <c r="AF96" i="10" s="1"/>
  <c r="K96" i="10"/>
  <c r="L96" i="10"/>
  <c r="AD96" i="10" s="1"/>
  <c r="AE96" i="10" s="1"/>
  <c r="J96" i="10"/>
  <c r="I12" i="10"/>
  <c r="AF12" i="10" s="1"/>
  <c r="K12" i="10"/>
  <c r="U12" i="10" s="1"/>
  <c r="V12" i="10" s="1"/>
  <c r="L12" i="10"/>
  <c r="AD12" i="10" s="1"/>
  <c r="AE12" i="10" s="1"/>
  <c r="J12" i="10"/>
  <c r="I46" i="10"/>
  <c r="AF46" i="10" s="1"/>
  <c r="K46" i="10"/>
  <c r="U46" i="10" s="1"/>
  <c r="V46" i="10" s="1"/>
  <c r="L46" i="10"/>
  <c r="AD46" i="10" s="1"/>
  <c r="AE46" i="10" s="1"/>
  <c r="J46" i="10"/>
  <c r="I28" i="10"/>
  <c r="AF28" i="10" s="1"/>
  <c r="K28" i="10"/>
  <c r="L28" i="10"/>
  <c r="AD28" i="10" s="1"/>
  <c r="AE28" i="10" s="1"/>
  <c r="J28" i="10"/>
  <c r="K123" i="10"/>
  <c r="J123" i="10"/>
  <c r="L123" i="10"/>
  <c r="AD123" i="10" s="1"/>
  <c r="AE123" i="10" s="1"/>
  <c r="I123" i="10"/>
  <c r="AF123" i="10" s="1"/>
  <c r="Q77" i="10"/>
  <c r="R77" i="10" s="1"/>
  <c r="S77" i="10"/>
  <c r="T77" i="10" s="1"/>
  <c r="O19" i="10"/>
  <c r="P19" i="10" s="1"/>
  <c r="AI19" i="10"/>
  <c r="AJ19" i="10" s="1"/>
  <c r="I106" i="10"/>
  <c r="AF106" i="10" s="1"/>
  <c r="K106" i="10"/>
  <c r="J106" i="10"/>
  <c r="L106" i="10"/>
  <c r="AD106" i="10" s="1"/>
  <c r="AE106" i="10" s="1"/>
  <c r="K52" i="10"/>
  <c r="U52" i="10" s="1"/>
  <c r="V52" i="10" s="1"/>
  <c r="L52" i="10"/>
  <c r="AD52" i="10" s="1"/>
  <c r="AE52" i="10" s="1"/>
  <c r="J52" i="10"/>
  <c r="I29" i="10"/>
  <c r="AF29" i="10" s="1"/>
  <c r="L29" i="10"/>
  <c r="AD29" i="10" s="1"/>
  <c r="AE29" i="10" s="1"/>
  <c r="J29" i="10"/>
  <c r="K29" i="10"/>
  <c r="U29" i="10" s="1"/>
  <c r="V29" i="10" s="1"/>
  <c r="I21" i="10"/>
  <c r="AF21" i="10" s="1"/>
  <c r="K21" i="10"/>
  <c r="U21" i="10" s="1"/>
  <c r="V21" i="10" s="1"/>
  <c r="L21" i="10"/>
  <c r="AD21" i="10" s="1"/>
  <c r="AE21" i="10" s="1"/>
  <c r="J21" i="10"/>
  <c r="I81" i="10"/>
  <c r="AF81" i="10" s="1"/>
  <c r="K81" i="10"/>
  <c r="L81" i="10"/>
  <c r="AD81" i="10" s="1"/>
  <c r="AE81" i="10" s="1"/>
  <c r="J81" i="10"/>
  <c r="I44" i="10"/>
  <c r="AF44" i="10" s="1"/>
  <c r="K44" i="10"/>
  <c r="U44" i="10" s="1"/>
  <c r="V44" i="10" s="1"/>
  <c r="L44" i="10"/>
  <c r="AD44" i="10" s="1"/>
  <c r="AE44" i="10" s="1"/>
  <c r="J44" i="10"/>
  <c r="S127" i="10"/>
  <c r="T127" i="10" s="1"/>
  <c r="O98" i="10"/>
  <c r="P98" i="10" s="1"/>
  <c r="L122" i="10"/>
  <c r="AD122" i="10" s="1"/>
  <c r="AE122" i="10" s="1"/>
  <c r="K122" i="10"/>
  <c r="J122" i="10"/>
  <c r="I122" i="10"/>
  <c r="AF122" i="10" s="1"/>
  <c r="L97" i="10"/>
  <c r="AD97" i="10" s="1"/>
  <c r="AE97" i="10" s="1"/>
  <c r="K97" i="10"/>
  <c r="U97" i="10" s="1"/>
  <c r="V97" i="10" s="1"/>
  <c r="J97" i="10"/>
  <c r="I97" i="10"/>
  <c r="AF97" i="10" s="1"/>
  <c r="I33" i="10"/>
  <c r="AF33" i="10" s="1"/>
  <c r="L33" i="10"/>
  <c r="AD33" i="10" s="1"/>
  <c r="AE33" i="10" s="1"/>
  <c r="K33" i="10"/>
  <c r="U33" i="10" s="1"/>
  <c r="V33" i="10" s="1"/>
  <c r="J33" i="10"/>
  <c r="Q26" i="10"/>
  <c r="R26" i="10" s="1"/>
  <c r="S26" i="10"/>
  <c r="T26" i="10" s="1"/>
  <c r="J58" i="10"/>
  <c r="I58" i="10"/>
  <c r="AF58" i="10" s="1"/>
  <c r="K58" i="10"/>
  <c r="U58" i="10" s="1"/>
  <c r="V58" i="10" s="1"/>
  <c r="L58" i="10"/>
  <c r="AD58" i="10" s="1"/>
  <c r="AE58" i="10" s="1"/>
  <c r="L19" i="10"/>
  <c r="AD19" i="10" s="1"/>
  <c r="AE19" i="10" s="1"/>
  <c r="K19" i="10"/>
  <c r="U19" i="10" s="1"/>
  <c r="V19" i="10" s="1"/>
  <c r="K37" i="10"/>
  <c r="U37" i="10" s="1"/>
  <c r="V37" i="10" s="1"/>
  <c r="I37" i="10"/>
  <c r="AF37" i="10" s="1"/>
  <c r="J37" i="10"/>
  <c r="L37" i="10"/>
  <c r="AD37" i="10" s="1"/>
  <c r="AE37" i="10" s="1"/>
  <c r="K13" i="10"/>
  <c r="U13" i="10" s="1"/>
  <c r="V13" i="10" s="1"/>
  <c r="I13" i="10"/>
  <c r="AF13" i="10" s="1"/>
  <c r="L13" i="10"/>
  <c r="AD13" i="10" s="1"/>
  <c r="AE13" i="10" s="1"/>
  <c r="J13" i="10"/>
  <c r="I45" i="10"/>
  <c r="AF45" i="10" s="1"/>
  <c r="K45" i="10"/>
  <c r="U45" i="10" s="1"/>
  <c r="V45" i="10" s="1"/>
  <c r="J45" i="10"/>
  <c r="L45" i="10"/>
  <c r="AD45" i="10" s="1"/>
  <c r="AE45" i="10" s="1"/>
  <c r="I100" i="10"/>
  <c r="AF100" i="10" s="1"/>
  <c r="L100" i="10"/>
  <c r="AD100" i="10" s="1"/>
  <c r="AE100" i="10" s="1"/>
  <c r="J100" i="10"/>
  <c r="K100" i="10"/>
  <c r="I65" i="10"/>
  <c r="AF65" i="10" s="1"/>
  <c r="K65" i="10"/>
  <c r="U65" i="10" s="1"/>
  <c r="V65" i="10" s="1"/>
  <c r="L65" i="10"/>
  <c r="AD65" i="10" s="1"/>
  <c r="AE65" i="10" s="1"/>
  <c r="J65" i="10"/>
  <c r="I48" i="10"/>
  <c r="AF48" i="10" s="1"/>
  <c r="L48" i="10"/>
  <c r="AD48" i="10" s="1"/>
  <c r="AE48" i="10" s="1"/>
  <c r="J48" i="10"/>
  <c r="K48" i="10"/>
  <c r="K56" i="10"/>
  <c r="U56" i="10" s="1"/>
  <c r="V56" i="10" s="1"/>
  <c r="I56" i="10"/>
  <c r="AF56" i="10" s="1"/>
  <c r="L56" i="10"/>
  <c r="AD56" i="10" s="1"/>
  <c r="AE56" i="10" s="1"/>
  <c r="J56" i="10"/>
  <c r="L25" i="10"/>
  <c r="AD25" i="10" s="1"/>
  <c r="AE25" i="10" s="1"/>
  <c r="K25" i="10"/>
  <c r="L73" i="10"/>
  <c r="AD73" i="10" s="1"/>
  <c r="AE73" i="10" s="1"/>
  <c r="K73" i="10"/>
  <c r="U73" i="10" s="1"/>
  <c r="V73" i="10" s="1"/>
  <c r="J73" i="10"/>
  <c r="I73" i="10"/>
  <c r="AF73" i="10" s="1"/>
  <c r="K51" i="10"/>
  <c r="U51" i="10" s="1"/>
  <c r="V51" i="10" s="1"/>
  <c r="I51" i="10"/>
  <c r="AF51" i="10" s="1"/>
  <c r="L51" i="10"/>
  <c r="AD51" i="10" s="1"/>
  <c r="AE51" i="10" s="1"/>
  <c r="J51" i="10"/>
  <c r="I69" i="10"/>
  <c r="AF69" i="10" s="1"/>
  <c r="J69" i="10"/>
  <c r="L69" i="10"/>
  <c r="AD69" i="10" s="1"/>
  <c r="AE69" i="10" s="1"/>
  <c r="K69" i="10"/>
  <c r="U69" i="10" s="1"/>
  <c r="V69" i="10" s="1"/>
  <c r="I31" i="10"/>
  <c r="AF31" i="10" s="1"/>
  <c r="J31" i="10"/>
  <c r="L31" i="10"/>
  <c r="AD31" i="10" s="1"/>
  <c r="AE31" i="10" s="1"/>
  <c r="K31" i="10"/>
  <c r="I23" i="10"/>
  <c r="AF23" i="10" s="1"/>
  <c r="K23" i="10"/>
  <c r="U23" i="10" s="1"/>
  <c r="V23" i="10" s="1"/>
  <c r="J23" i="10"/>
  <c r="L23" i="10"/>
  <c r="AD23" i="10" s="1"/>
  <c r="AE23" i="10" s="1"/>
  <c r="I77" i="10"/>
  <c r="AF77" i="10" s="1"/>
  <c r="L77" i="10"/>
  <c r="AD77" i="10" s="1"/>
  <c r="AE77" i="10" s="1"/>
  <c r="K77" i="10"/>
  <c r="U77" i="10" s="1"/>
  <c r="V77" i="10" s="1"/>
  <c r="L86" i="10"/>
  <c r="AD86" i="10" s="1"/>
  <c r="AE86" i="10" s="1"/>
  <c r="I86" i="10"/>
  <c r="AF86" i="10" s="1"/>
  <c r="K86" i="10"/>
  <c r="U86" i="10" s="1"/>
  <c r="V86" i="10" s="1"/>
  <c r="O75" i="10"/>
  <c r="P75" i="10" s="1"/>
  <c r="AI75" i="10"/>
  <c r="AJ75" i="10" s="1"/>
  <c r="L125" i="10"/>
  <c r="AD125" i="10" s="1"/>
  <c r="AE125" i="10" s="1"/>
  <c r="K125" i="10"/>
  <c r="U125" i="10" s="1"/>
  <c r="V125" i="10" s="1"/>
  <c r="L126" i="10"/>
  <c r="AD126" i="10" s="1"/>
  <c r="AE126" i="10" s="1"/>
  <c r="K126" i="10"/>
  <c r="U126" i="10" s="1"/>
  <c r="V126" i="10" s="1"/>
  <c r="J126" i="10"/>
  <c r="K110" i="10"/>
  <c r="U110" i="10" s="1"/>
  <c r="V110" i="10" s="1"/>
  <c r="L110" i="10"/>
  <c r="AD110" i="10" s="1"/>
  <c r="AE110" i="10" s="1"/>
  <c r="I110" i="10"/>
  <c r="AF110" i="10" s="1"/>
  <c r="I87" i="10"/>
  <c r="AF87" i="10" s="1"/>
  <c r="K87" i="10"/>
  <c r="U87" i="10" s="1"/>
  <c r="V87" i="10" s="1"/>
  <c r="L87" i="10"/>
  <c r="AD87" i="10" s="1"/>
  <c r="AE87" i="10" s="1"/>
  <c r="J87" i="10"/>
  <c r="I76" i="10"/>
  <c r="AF76" i="10" s="1"/>
  <c r="K76" i="10"/>
  <c r="U76" i="10" s="1"/>
  <c r="V76" i="10" s="1"/>
  <c r="J76" i="10"/>
  <c r="L76" i="10"/>
  <c r="AD76" i="10" s="1"/>
  <c r="AE76" i="10" s="1"/>
  <c r="I59" i="10"/>
  <c r="AF59" i="10" s="1"/>
  <c r="K59" i="10"/>
  <c r="U59" i="10" s="1"/>
  <c r="V59" i="10" s="1"/>
  <c r="J59" i="10"/>
  <c r="L59" i="10"/>
  <c r="AD59" i="10" s="1"/>
  <c r="AE59" i="10" s="1"/>
  <c r="I108" i="10"/>
  <c r="AF108" i="10" s="1"/>
  <c r="K108" i="10"/>
  <c r="U108" i="10" s="1"/>
  <c r="V108" i="10" s="1"/>
  <c r="L108" i="10"/>
  <c r="AD108" i="10" s="1"/>
  <c r="AE108" i="10" s="1"/>
  <c r="J108" i="10"/>
  <c r="I109" i="10"/>
  <c r="AF109" i="10" s="1"/>
  <c r="K109" i="10"/>
  <c r="U109" i="10" s="1"/>
  <c r="V109" i="10" s="1"/>
  <c r="L109" i="10"/>
  <c r="AD109" i="10" s="1"/>
  <c r="AE109" i="10" s="1"/>
  <c r="J109" i="10"/>
  <c r="Q20" i="10"/>
  <c r="R20" i="10" s="1"/>
  <c r="Q101" i="10"/>
  <c r="R101" i="10" s="1"/>
  <c r="Q40" i="10"/>
  <c r="R40" i="10" s="1"/>
  <c r="Q60" i="10"/>
  <c r="R60" i="10" s="1"/>
  <c r="J19" i="10"/>
  <c r="J25" i="10"/>
  <c r="I72" i="10"/>
  <c r="AF72" i="10" s="1"/>
  <c r="J72" i="10"/>
  <c r="K72" i="10"/>
  <c r="U72" i="10" s="1"/>
  <c r="V72" i="10" s="1"/>
  <c r="L72" i="10"/>
  <c r="AD72" i="10" s="1"/>
  <c r="AE72" i="10" s="1"/>
  <c r="I35" i="10"/>
  <c r="AF35" i="10" s="1"/>
  <c r="K35" i="10"/>
  <c r="J35" i="10"/>
  <c r="L35" i="10"/>
  <c r="AD35" i="10" s="1"/>
  <c r="AE35" i="10" s="1"/>
  <c r="I27" i="10"/>
  <c r="AF27" i="10" s="1"/>
  <c r="K27" i="10"/>
  <c r="U27" i="10" s="1"/>
  <c r="V27" i="10" s="1"/>
  <c r="J27" i="10"/>
  <c r="L27" i="10"/>
  <c r="AD27" i="10" s="1"/>
  <c r="AE27" i="10" s="1"/>
  <c r="I24" i="10"/>
  <c r="AF24" i="10" s="1"/>
  <c r="K24" i="10"/>
  <c r="U24" i="10" s="1"/>
  <c r="V24" i="10" s="1"/>
  <c r="J24" i="10"/>
  <c r="L24" i="10"/>
  <c r="AD24" i="10" s="1"/>
  <c r="AE24" i="10" s="1"/>
  <c r="J125" i="10"/>
  <c r="L127" i="10"/>
  <c r="AD127" i="10" s="1"/>
  <c r="AE127" i="10" s="1"/>
  <c r="K127" i="10"/>
  <c r="U127" i="10" s="1"/>
  <c r="V127" i="10" s="1"/>
  <c r="I127" i="10"/>
  <c r="AF127" i="10" s="1"/>
  <c r="J121" i="10"/>
  <c r="K121" i="10"/>
  <c r="I121" i="10"/>
  <c r="AF121" i="10" s="1"/>
  <c r="L121" i="10"/>
  <c r="AD121" i="10" s="1"/>
  <c r="AE121" i="10" s="1"/>
  <c r="K40" i="10"/>
  <c r="U40" i="10" s="1"/>
  <c r="V40" i="10" s="1"/>
  <c r="L40" i="10"/>
  <c r="AD40" i="10" s="1"/>
  <c r="AE40" i="10" s="1"/>
  <c r="I40" i="10"/>
  <c r="AF40" i="10" s="1"/>
  <c r="J86" i="10"/>
  <c r="J75" i="10"/>
  <c r="K75" i="10"/>
  <c r="U75" i="10" s="1"/>
  <c r="V75" i="10" s="1"/>
  <c r="L75" i="10"/>
  <c r="AD75" i="10" s="1"/>
  <c r="AE75" i="10" s="1"/>
  <c r="I93" i="10"/>
  <c r="AF93" i="10" s="1"/>
  <c r="L93" i="10"/>
  <c r="AD93" i="10" s="1"/>
  <c r="AE93" i="10" s="1"/>
  <c r="J93" i="10"/>
  <c r="K93" i="10"/>
  <c r="U93" i="10" s="1"/>
  <c r="V93" i="10" s="1"/>
  <c r="I82" i="10"/>
  <c r="AF82" i="10" s="1"/>
  <c r="K82" i="10"/>
  <c r="J82" i="10"/>
  <c r="L82" i="10"/>
  <c r="AD82" i="10" s="1"/>
  <c r="AE82" i="10" s="1"/>
  <c r="I80" i="10"/>
  <c r="AF80" i="10" s="1"/>
  <c r="L80" i="10"/>
  <c r="AD80" i="10" s="1"/>
  <c r="AE80" i="10" s="1"/>
  <c r="K80" i="10"/>
  <c r="J80" i="10"/>
  <c r="I71" i="10"/>
  <c r="AF71" i="10" s="1"/>
  <c r="K71" i="10"/>
  <c r="U71" i="10" s="1"/>
  <c r="V71" i="10" s="1"/>
  <c r="J71" i="10"/>
  <c r="L71" i="10"/>
  <c r="AD71" i="10" s="1"/>
  <c r="AE71" i="10" s="1"/>
  <c r="I128" i="10"/>
  <c r="AF128" i="10" s="1"/>
  <c r="L128" i="10"/>
  <c r="AD128" i="10" s="1"/>
  <c r="AE128" i="10" s="1"/>
  <c r="K128" i="10"/>
  <c r="U128" i="10" s="1"/>
  <c r="V128" i="10" s="1"/>
  <c r="J128" i="10"/>
  <c r="I119" i="10"/>
  <c r="AF119" i="10" s="1"/>
  <c r="K119" i="10"/>
  <c r="U119" i="10" s="1"/>
  <c r="V119" i="10" s="1"/>
  <c r="L119" i="10"/>
  <c r="AD119" i="10" s="1"/>
  <c r="AE119" i="10" s="1"/>
  <c r="J119" i="10"/>
  <c r="I118" i="10"/>
  <c r="AF118" i="10" s="1"/>
  <c r="K118" i="10"/>
  <c r="L118" i="10"/>
  <c r="AD118" i="10" s="1"/>
  <c r="AE118" i="10" s="1"/>
  <c r="J118" i="10"/>
  <c r="I114" i="10"/>
  <c r="AF114" i="10" s="1"/>
  <c r="K114" i="10"/>
  <c r="L114" i="10"/>
  <c r="AD114" i="10" s="1"/>
  <c r="AE114" i="10" s="1"/>
  <c r="J114" i="10"/>
  <c r="L22" i="10"/>
  <c r="AD22" i="10" s="1"/>
  <c r="AE22" i="10" s="1"/>
  <c r="I22" i="10"/>
  <c r="AF22" i="10" s="1"/>
  <c r="K22" i="10"/>
  <c r="J22" i="10"/>
  <c r="J49" i="10"/>
  <c r="K49" i="10"/>
  <c r="I49" i="10"/>
  <c r="AF49" i="10" s="1"/>
  <c r="L49" i="10"/>
  <c r="AD49" i="10" s="1"/>
  <c r="AE49" i="10" s="1"/>
  <c r="I103" i="10"/>
  <c r="AF103" i="10" s="1"/>
  <c r="J103" i="10"/>
  <c r="L103" i="10"/>
  <c r="AD103" i="10" s="1"/>
  <c r="AE103" i="10" s="1"/>
  <c r="K103" i="10"/>
  <c r="L66" i="10"/>
  <c r="AD66" i="10" s="1"/>
  <c r="AE66" i="10" s="1"/>
  <c r="K66" i="10"/>
  <c r="J66" i="10"/>
  <c r="I66" i="10"/>
  <c r="AF66" i="10" s="1"/>
  <c r="K34" i="10"/>
  <c r="J34" i="10"/>
  <c r="L34" i="10"/>
  <c r="AD34" i="10" s="1"/>
  <c r="AE34" i="10" s="1"/>
  <c r="I67" i="10"/>
  <c r="AF67" i="10" s="1"/>
  <c r="K67" i="10"/>
  <c r="J67" i="10"/>
  <c r="L67" i="10"/>
  <c r="AD67" i="10" s="1"/>
  <c r="AE67" i="10" s="1"/>
  <c r="I94" i="10"/>
  <c r="AF94" i="10" s="1"/>
  <c r="K94" i="10"/>
  <c r="U94" i="10" s="1"/>
  <c r="V94" i="10" s="1"/>
  <c r="J94" i="10"/>
  <c r="L94" i="10"/>
  <c r="AD94" i="10" s="1"/>
  <c r="AE94" i="10" s="1"/>
  <c r="I64" i="10"/>
  <c r="AF64" i="10" s="1"/>
  <c r="L64" i="10"/>
  <c r="AD64" i="10" s="1"/>
  <c r="AE64" i="10" s="1"/>
  <c r="J64" i="10"/>
  <c r="K64" i="10"/>
  <c r="U64" i="10" s="1"/>
  <c r="V64" i="10" s="1"/>
  <c r="K43" i="10"/>
  <c r="L43" i="10"/>
  <c r="AD43" i="10" s="1"/>
  <c r="AE43" i="10" s="1"/>
  <c r="J43" i="10"/>
  <c r="I43" i="10"/>
  <c r="AF43" i="10" s="1"/>
  <c r="J99" i="10"/>
  <c r="K99" i="10"/>
  <c r="U99" i="10" s="1"/>
  <c r="V99" i="10" s="1"/>
  <c r="I99" i="10"/>
  <c r="AF99" i="10" s="1"/>
  <c r="L99" i="10"/>
  <c r="AD99" i="10" s="1"/>
  <c r="AE99" i="10" s="1"/>
  <c r="J63" i="10"/>
  <c r="K63" i="10"/>
  <c r="U63" i="10" s="1"/>
  <c r="V63" i="10" s="1"/>
  <c r="I63" i="10"/>
  <c r="AF63" i="10" s="1"/>
  <c r="L63" i="10"/>
  <c r="AD63" i="10" s="1"/>
  <c r="AE63" i="10" s="1"/>
  <c r="I70" i="10"/>
  <c r="AF70" i="10" s="1"/>
  <c r="J70" i="10"/>
  <c r="L70" i="10"/>
  <c r="AD70" i="10" s="1"/>
  <c r="AE70" i="10" s="1"/>
  <c r="K70" i="10"/>
  <c r="U70" i="10" s="1"/>
  <c r="V70" i="10" s="1"/>
  <c r="I54" i="10"/>
  <c r="AF54" i="10" s="1"/>
  <c r="K54" i="10"/>
  <c r="U54" i="10" s="1"/>
  <c r="V54" i="10" s="1"/>
  <c r="J54" i="10"/>
  <c r="L54" i="10"/>
  <c r="AD54" i="10" s="1"/>
  <c r="AE54" i="10" s="1"/>
  <c r="L78" i="10"/>
  <c r="AD78" i="10" s="1"/>
  <c r="AE78" i="10" s="1"/>
  <c r="K78" i="10"/>
  <c r="K92" i="10"/>
  <c r="L92" i="10"/>
  <c r="AD92" i="10" s="1"/>
  <c r="AE92" i="10" s="1"/>
  <c r="I92" i="10"/>
  <c r="AF92" i="10" s="1"/>
  <c r="I68" i="10"/>
  <c r="AF68" i="10" s="1"/>
  <c r="L68" i="10"/>
  <c r="AD68" i="10" s="1"/>
  <c r="AE68" i="10" s="1"/>
  <c r="J68" i="10"/>
  <c r="K68" i="10"/>
  <c r="U68" i="10" s="1"/>
  <c r="V68" i="10" s="1"/>
  <c r="K101" i="10"/>
  <c r="U101" i="10" s="1"/>
  <c r="V101" i="10" s="1"/>
  <c r="L101" i="10"/>
  <c r="AD101" i="10" s="1"/>
  <c r="AE101" i="10" s="1"/>
  <c r="I101" i="10"/>
  <c r="AF101" i="10" s="1"/>
  <c r="L26" i="10"/>
  <c r="AD26" i="10" s="1"/>
  <c r="AE26" i="10" s="1"/>
  <c r="K26" i="10"/>
  <c r="U26" i="10" s="1"/>
  <c r="V26" i="10" s="1"/>
  <c r="I107" i="10"/>
  <c r="AF107" i="10" s="1"/>
  <c r="L107" i="10"/>
  <c r="AD107" i="10" s="1"/>
  <c r="AE107" i="10" s="1"/>
  <c r="K107" i="10"/>
  <c r="J107" i="10"/>
  <c r="J85" i="10"/>
  <c r="L85" i="10"/>
  <c r="AD85" i="10" s="1"/>
  <c r="AE85" i="10" s="1"/>
  <c r="I85" i="10"/>
  <c r="AF85" i="10" s="1"/>
  <c r="K85" i="10"/>
  <c r="I79" i="10"/>
  <c r="AF79" i="10" s="1"/>
  <c r="J79" i="10"/>
  <c r="L79" i="10"/>
  <c r="AD79" i="10" s="1"/>
  <c r="AE79" i="10" s="1"/>
  <c r="K79" i="10"/>
  <c r="U79" i="10" s="1"/>
  <c r="V79" i="10" s="1"/>
  <c r="L61" i="10"/>
  <c r="AD61" i="10" s="1"/>
  <c r="AE61" i="10" s="1"/>
  <c r="J61" i="10"/>
  <c r="K61" i="10"/>
  <c r="I61" i="10"/>
  <c r="AF61" i="10" s="1"/>
  <c r="L117" i="10"/>
  <c r="AD117" i="10" s="1"/>
  <c r="AE117" i="10" s="1"/>
  <c r="K117" i="10"/>
  <c r="U117" i="10" s="1"/>
  <c r="V117" i="10" s="1"/>
  <c r="J117" i="10"/>
  <c r="I117" i="10"/>
  <c r="AF117" i="10" s="1"/>
  <c r="L102" i="10"/>
  <c r="AD102" i="10" s="1"/>
  <c r="AE102" i="10" s="1"/>
  <c r="K102" i="10"/>
  <c r="U102" i="10" s="1"/>
  <c r="V102" i="10" s="1"/>
  <c r="J102" i="10"/>
  <c r="I102" i="10"/>
  <c r="AF102" i="10" s="1"/>
  <c r="L88" i="10"/>
  <c r="AD88" i="10" s="1"/>
  <c r="AE88" i="10" s="1"/>
  <c r="J88" i="10"/>
  <c r="I88" i="10"/>
  <c r="AF88" i="10" s="1"/>
  <c r="K88" i="10"/>
  <c r="U88" i="10" s="1"/>
  <c r="V88" i="10" s="1"/>
  <c r="K91" i="10"/>
  <c r="I91" i="10"/>
  <c r="AF91" i="10" s="1"/>
  <c r="J91" i="10"/>
  <c r="L91" i="10"/>
  <c r="AD91" i="10" s="1"/>
  <c r="AE91" i="10" s="1"/>
  <c r="I90" i="10"/>
  <c r="AF90" i="10" s="1"/>
  <c r="L90" i="10"/>
  <c r="AD90" i="10" s="1"/>
  <c r="AE90" i="10" s="1"/>
  <c r="J90" i="10"/>
  <c r="K90" i="10"/>
  <c r="U90" i="10" s="1"/>
  <c r="V90" i="10" s="1"/>
  <c r="I83" i="10"/>
  <c r="AF83" i="10" s="1"/>
  <c r="K83" i="10"/>
  <c r="U83" i="10" s="1"/>
  <c r="V83" i="10" s="1"/>
  <c r="J83" i="10"/>
  <c r="L83" i="10"/>
  <c r="AD83" i="10" s="1"/>
  <c r="AE83" i="10" s="1"/>
  <c r="I34" i="10"/>
  <c r="AF34" i="10" s="1"/>
  <c r="I17" i="10"/>
  <c r="AF17" i="10" s="1"/>
  <c r="K17" i="10"/>
  <c r="U17" i="10" s="1"/>
  <c r="V17" i="10" s="1"/>
  <c r="L17" i="10"/>
  <c r="AD17" i="10" s="1"/>
  <c r="AE17" i="10" s="1"/>
  <c r="J17" i="10"/>
  <c r="I10" i="10"/>
  <c r="AF10" i="10" s="1"/>
  <c r="K10" i="10"/>
  <c r="U10" i="10" s="1"/>
  <c r="V10" i="10" s="1"/>
  <c r="L10" i="10"/>
  <c r="AD10" i="10" s="1"/>
  <c r="AE10" i="10" s="1"/>
  <c r="J10" i="10"/>
  <c r="I74" i="10"/>
  <c r="AF74" i="10" s="1"/>
  <c r="L74" i="10"/>
  <c r="AD74" i="10" s="1"/>
  <c r="AE74" i="10" s="1"/>
  <c r="J74" i="10"/>
  <c r="K74" i="10"/>
  <c r="I116" i="10"/>
  <c r="AF116" i="10" s="1"/>
  <c r="K116" i="10"/>
  <c r="U116" i="10" s="1"/>
  <c r="V116" i="10" s="1"/>
  <c r="J116" i="10"/>
  <c r="L116" i="10"/>
  <c r="AD116" i="10" s="1"/>
  <c r="AE116" i="10" s="1"/>
  <c r="J115" i="10"/>
  <c r="I115" i="10"/>
  <c r="AF115" i="10" s="1"/>
  <c r="K115" i="10"/>
  <c r="U115" i="10" s="1"/>
  <c r="V115" i="10" s="1"/>
  <c r="L115" i="10"/>
  <c r="AD115" i="10" s="1"/>
  <c r="AE115" i="10" s="1"/>
  <c r="L105" i="10"/>
  <c r="AD105" i="10" s="1"/>
  <c r="AE105" i="10" s="1"/>
  <c r="K105" i="10"/>
  <c r="U105" i="10" s="1"/>
  <c r="V105" i="10" s="1"/>
  <c r="I105" i="10"/>
  <c r="AF105" i="10" s="1"/>
  <c r="J105" i="10"/>
  <c r="J113" i="10"/>
  <c r="I113" i="10"/>
  <c r="AF113" i="10" s="1"/>
  <c r="K113" i="10"/>
  <c r="L113" i="10"/>
  <c r="AD113" i="10" s="1"/>
  <c r="AE113" i="10" s="1"/>
  <c r="J9" i="10"/>
  <c r="I9" i="10"/>
  <c r="AF9" i="10" s="1"/>
  <c r="L9" i="10"/>
  <c r="AD9" i="10" s="1"/>
  <c r="AE9" i="10" s="1"/>
  <c r="K9" i="10"/>
  <c r="L36" i="10"/>
  <c r="AD36" i="10" s="1"/>
  <c r="AE36" i="10" s="1"/>
  <c r="K36" i="10"/>
  <c r="U36" i="10" s="1"/>
  <c r="V36" i="10" s="1"/>
  <c r="I36" i="10"/>
  <c r="AF36" i="10" s="1"/>
  <c r="J36" i="10"/>
  <c r="L32" i="10"/>
  <c r="AD32" i="10" s="1"/>
  <c r="AE32" i="10" s="1"/>
  <c r="J32" i="10"/>
  <c r="K32" i="10"/>
  <c r="U32" i="10" s="1"/>
  <c r="V32" i="10" s="1"/>
  <c r="I32" i="10"/>
  <c r="AF32" i="10" s="1"/>
  <c r="K124" i="10"/>
  <c r="I124" i="10"/>
  <c r="AF124" i="10" s="1"/>
  <c r="L124" i="10"/>
  <c r="AD124" i="10" s="1"/>
  <c r="AE124" i="10" s="1"/>
  <c r="J124" i="10"/>
  <c r="I120" i="10"/>
  <c r="AF120" i="10" s="1"/>
  <c r="J120" i="10"/>
  <c r="L120" i="10"/>
  <c r="AD120" i="10" s="1"/>
  <c r="AE120" i="10" s="1"/>
  <c r="K120" i="10"/>
  <c r="U120" i="10" s="1"/>
  <c r="V120" i="10" s="1"/>
  <c r="I112" i="10"/>
  <c r="AF112" i="10" s="1"/>
  <c r="K112" i="10"/>
  <c r="U112" i="10" s="1"/>
  <c r="V112" i="10" s="1"/>
  <c r="J112" i="10"/>
  <c r="L112" i="10"/>
  <c r="AD112" i="10" s="1"/>
  <c r="AE112" i="10" s="1"/>
  <c r="I84" i="10"/>
  <c r="AF84" i="10" s="1"/>
  <c r="J84" i="10"/>
  <c r="K84" i="10"/>
  <c r="U84" i="10" s="1"/>
  <c r="V84" i="10" s="1"/>
  <c r="L84" i="10"/>
  <c r="AD84" i="10" s="1"/>
  <c r="AE84" i="10" s="1"/>
  <c r="I89" i="10"/>
  <c r="AF89" i="10" s="1"/>
  <c r="K89" i="10"/>
  <c r="J89" i="10"/>
  <c r="L89" i="10"/>
  <c r="AD89" i="10" s="1"/>
  <c r="AE89" i="10" s="1"/>
  <c r="I125" i="10"/>
  <c r="AF125" i="10" s="1"/>
  <c r="J62" i="10"/>
  <c r="K62" i="10"/>
  <c r="U62" i="10" s="1"/>
  <c r="V62" i="10" s="1"/>
  <c r="L62" i="10"/>
  <c r="AD62" i="10" s="1"/>
  <c r="AE62" i="10" s="1"/>
  <c r="L50" i="10"/>
  <c r="AD50" i="10" s="1"/>
  <c r="AE50" i="10" s="1"/>
  <c r="K50" i="10"/>
  <c r="U50" i="10" s="1"/>
  <c r="V50" i="10" s="1"/>
  <c r="J50" i="10"/>
  <c r="K20" i="10"/>
  <c r="L20" i="10"/>
  <c r="AD20" i="10" s="1"/>
  <c r="AE20" i="10" s="1"/>
  <c r="I20" i="10"/>
  <c r="AF20" i="10" s="1"/>
  <c r="I11" i="10"/>
  <c r="AF11" i="10" s="1"/>
  <c r="L11" i="10"/>
  <c r="AD11" i="10" s="1"/>
  <c r="AE11" i="10" s="1"/>
  <c r="J11" i="10"/>
  <c r="K11" i="10"/>
  <c r="U11" i="10" s="1"/>
  <c r="V11" i="10" s="1"/>
  <c r="I30" i="10"/>
  <c r="AF30" i="10" s="1"/>
  <c r="K30" i="10"/>
  <c r="L30" i="10"/>
  <c r="AD30" i="10" s="1"/>
  <c r="AE30" i="10" s="1"/>
  <c r="J30" i="10"/>
  <c r="I126" i="10"/>
  <c r="AF126" i="10" s="1"/>
  <c r="J15" i="10"/>
  <c r="K15" i="10"/>
  <c r="U15" i="10" s="1"/>
  <c r="V15" i="10" s="1"/>
  <c r="I15" i="10"/>
  <c r="AF15" i="10" s="1"/>
  <c r="L15" i="10"/>
  <c r="AD15" i="10" s="1"/>
  <c r="AE15" i="10" s="1"/>
  <c r="J98" i="10"/>
  <c r="K98" i="10"/>
  <c r="U98" i="10" s="1"/>
  <c r="V98" i="10" s="1"/>
  <c r="L98" i="10"/>
  <c r="AD98" i="10" s="1"/>
  <c r="AE98" i="10" s="1"/>
  <c r="I41" i="10"/>
  <c r="AF41" i="10" s="1"/>
  <c r="L41" i="10"/>
  <c r="AD41" i="10" s="1"/>
  <c r="AE41" i="10" s="1"/>
  <c r="K41" i="10"/>
  <c r="K42" i="10"/>
  <c r="I42" i="10"/>
  <c r="AF42" i="10" s="1"/>
  <c r="J42" i="10"/>
  <c r="L42" i="10"/>
  <c r="AD42" i="10" s="1"/>
  <c r="AE42" i="10" s="1"/>
  <c r="K47" i="10"/>
  <c r="L47" i="10"/>
  <c r="AD47" i="10" s="1"/>
  <c r="AE47" i="10" s="1"/>
  <c r="I47" i="10"/>
  <c r="AF47" i="10" s="1"/>
  <c r="L60" i="10"/>
  <c r="AD60" i="10" s="1"/>
  <c r="AE60" i="10" s="1"/>
  <c r="K60" i="10"/>
  <c r="U60" i="10" s="1"/>
  <c r="V60" i="10" s="1"/>
  <c r="I53" i="10"/>
  <c r="AF53" i="10" s="1"/>
  <c r="K53" i="10"/>
  <c r="U53" i="10" s="1"/>
  <c r="V53" i="10" s="1"/>
  <c r="L53" i="10"/>
  <c r="AD53" i="10" s="1"/>
  <c r="AE53" i="10" s="1"/>
  <c r="J53" i="10"/>
  <c r="I14" i="10"/>
  <c r="AF14" i="10" s="1"/>
  <c r="K14" i="10"/>
  <c r="U14" i="10" s="1"/>
  <c r="V14" i="10" s="1"/>
  <c r="L14" i="10"/>
  <c r="AD14" i="10" s="1"/>
  <c r="AE14" i="10" s="1"/>
  <c r="J14" i="10"/>
  <c r="I18" i="10"/>
  <c r="AF18" i="10" s="1"/>
  <c r="K18" i="10"/>
  <c r="U18" i="10" s="1"/>
  <c r="V18" i="10" s="1"/>
  <c r="L18" i="10"/>
  <c r="AD18" i="10" s="1"/>
  <c r="AE18" i="10" s="1"/>
  <c r="J18" i="10"/>
  <c r="I78" i="10"/>
  <c r="AF78" i="10" s="1"/>
  <c r="I55" i="10"/>
  <c r="AF55" i="10" s="1"/>
  <c r="K55" i="10"/>
  <c r="L55" i="10"/>
  <c r="AD55" i="10" s="1"/>
  <c r="AE55" i="10" s="1"/>
  <c r="J55" i="10"/>
  <c r="I39" i="10"/>
  <c r="AF39" i="10" s="1"/>
  <c r="L39" i="10"/>
  <c r="AD39" i="10" s="1"/>
  <c r="AE39" i="10" s="1"/>
  <c r="K39" i="10"/>
  <c r="J39" i="10"/>
  <c r="I16" i="10"/>
  <c r="AF16" i="10" s="1"/>
  <c r="L16" i="10"/>
  <c r="AD16" i="10" s="1"/>
  <c r="AE16" i="10" s="1"/>
  <c r="K16" i="10"/>
  <c r="U16" i="10" s="1"/>
  <c r="V16" i="10" s="1"/>
  <c r="J16" i="10"/>
  <c r="AB32" i="8"/>
  <c r="AK32" i="8" s="1"/>
  <c r="AB64" i="8"/>
  <c r="AK64" i="8" s="1"/>
  <c r="AB96" i="8"/>
  <c r="AK96" i="8" s="1"/>
  <c r="AB128" i="8"/>
  <c r="AK128" i="8" s="1"/>
  <c r="AB102" i="8"/>
  <c r="AK102" i="8" s="1"/>
  <c r="AB36" i="8"/>
  <c r="AK36" i="8" s="1"/>
  <c r="AB68" i="8"/>
  <c r="AK68" i="8" s="1"/>
  <c r="AB100" i="8"/>
  <c r="AK100" i="8" s="1"/>
  <c r="AB106" i="8"/>
  <c r="AK106" i="8" s="1"/>
  <c r="AB40" i="8"/>
  <c r="AK40" i="8" s="1"/>
  <c r="AB72" i="8"/>
  <c r="AK72" i="8" s="1"/>
  <c r="AB104" i="8"/>
  <c r="AK104" i="8" s="1"/>
  <c r="AB110" i="8"/>
  <c r="AK110" i="8" s="1"/>
  <c r="AB28" i="8"/>
  <c r="AK28" i="8" s="1"/>
  <c r="AB60" i="8"/>
  <c r="AK60" i="8" s="1"/>
  <c r="AB92" i="8"/>
  <c r="AK92" i="8" s="1"/>
  <c r="AB124" i="8"/>
  <c r="AK124" i="8" s="1"/>
  <c r="AB98" i="8"/>
  <c r="AK98" i="8" s="1"/>
  <c r="AB22" i="8"/>
  <c r="AK22" i="8" s="1"/>
  <c r="AB54" i="8"/>
  <c r="AK54" i="8" s="1"/>
  <c r="AB86" i="8"/>
  <c r="AK86" i="8" s="1"/>
  <c r="AB49" i="8"/>
  <c r="AK49" i="8" s="1"/>
  <c r="AB113" i="8"/>
  <c r="AK113" i="8" s="1"/>
  <c r="AB99" i="8"/>
  <c r="AK99" i="8" s="1"/>
  <c r="AB61" i="8"/>
  <c r="AK61" i="8" s="1"/>
  <c r="AB125" i="8"/>
  <c r="AK125" i="8" s="1"/>
  <c r="AB71" i="8"/>
  <c r="AK71" i="8" s="1"/>
  <c r="AB19" i="8"/>
  <c r="AK19" i="8" s="1"/>
  <c r="AB26" i="8"/>
  <c r="AK26" i="8" s="1"/>
  <c r="AB58" i="8"/>
  <c r="AK58" i="8" s="1"/>
  <c r="AB57" i="8"/>
  <c r="AK57" i="8" s="1"/>
  <c r="AB121" i="8"/>
  <c r="AK121" i="8" s="1"/>
  <c r="AB115" i="8"/>
  <c r="AK115" i="8" s="1"/>
  <c r="AB69" i="8"/>
  <c r="AK69" i="8" s="1"/>
  <c r="AB15" i="8"/>
  <c r="AK15" i="8" s="1"/>
  <c r="AB79" i="8"/>
  <c r="AK79" i="8" s="1"/>
  <c r="AB43" i="8"/>
  <c r="AK43" i="8" s="1"/>
  <c r="AB30" i="8"/>
  <c r="AK30" i="8" s="1"/>
  <c r="AB62" i="8"/>
  <c r="AK62" i="8" s="1"/>
  <c r="AB65" i="8"/>
  <c r="AK65" i="8" s="1"/>
  <c r="AB8" i="8"/>
  <c r="AK8" i="8" s="1"/>
  <c r="AB13" i="8"/>
  <c r="AK13" i="8" s="1"/>
  <c r="AB77" i="8"/>
  <c r="AK77" i="8" s="1"/>
  <c r="AB23" i="8"/>
  <c r="AK23" i="8" s="1"/>
  <c r="AB87" i="8"/>
  <c r="AK87" i="8" s="1"/>
  <c r="AB59" i="8"/>
  <c r="AK59" i="8" s="1"/>
  <c r="AB18" i="8"/>
  <c r="AK18" i="8" s="1"/>
  <c r="AB50" i="8"/>
  <c r="AK50" i="8" s="1"/>
  <c r="AB82" i="8"/>
  <c r="AK82" i="8" s="1"/>
  <c r="AB41" i="8"/>
  <c r="AK41" i="8" s="1"/>
  <c r="AB105" i="8"/>
  <c r="AK105" i="8" s="1"/>
  <c r="AB83" i="8"/>
  <c r="AK83" i="8" s="1"/>
  <c r="AB53" i="8"/>
  <c r="AK53" i="8" s="1"/>
  <c r="AB117" i="8"/>
  <c r="AK117" i="8" s="1"/>
  <c r="AB63" i="8"/>
  <c r="AK63" i="8" s="1"/>
  <c r="AB127" i="8"/>
  <c r="AK127" i="8" s="1"/>
  <c r="AB123" i="8"/>
  <c r="AK123" i="8" s="1"/>
  <c r="AB38" i="8"/>
  <c r="AK38" i="8" s="1"/>
  <c r="AB70" i="8"/>
  <c r="AK70" i="8" s="1"/>
  <c r="AB17" i="8"/>
  <c r="AK17" i="8" s="1"/>
  <c r="AB81" i="8"/>
  <c r="AK81" i="8" s="1"/>
  <c r="AB27" i="8"/>
  <c r="AK27" i="8" s="1"/>
  <c r="AB29" i="8"/>
  <c r="AK29" i="8" s="1"/>
  <c r="AB93" i="8"/>
  <c r="AK93" i="8" s="1"/>
  <c r="AB39" i="8"/>
  <c r="AK39" i="8" s="1"/>
  <c r="AB103" i="8"/>
  <c r="AK103" i="8" s="1"/>
  <c r="AB75" i="8"/>
  <c r="AK75" i="8" s="1"/>
  <c r="AB10" i="8"/>
  <c r="AK10" i="8" s="1"/>
  <c r="AB42" i="8"/>
  <c r="AK42" i="8" s="1"/>
  <c r="AB74" i="8"/>
  <c r="AK74" i="8" s="1"/>
  <c r="AB25" i="8"/>
  <c r="AK25" i="8" s="1"/>
  <c r="AB89" i="8"/>
  <c r="AK89" i="8" s="1"/>
  <c r="AB35" i="8"/>
  <c r="AK35" i="8" s="1"/>
  <c r="AB37" i="8"/>
  <c r="AK37" i="8" s="1"/>
  <c r="AB101" i="8"/>
  <c r="AK101" i="8" s="1"/>
  <c r="AB47" i="8"/>
  <c r="AK47" i="8" s="1"/>
  <c r="AB111" i="8"/>
  <c r="AK111" i="8" s="1"/>
  <c r="AB91" i="8"/>
  <c r="AK91" i="8" s="1"/>
  <c r="AB14" i="8"/>
  <c r="AK14" i="8" s="1"/>
  <c r="AB46" i="8"/>
  <c r="AK46" i="8" s="1"/>
  <c r="AB78" i="8"/>
  <c r="AK78" i="8" s="1"/>
  <c r="AB33" i="8"/>
  <c r="AK33" i="8" s="1"/>
  <c r="AB97" i="8"/>
  <c r="AK97" i="8" s="1"/>
  <c r="AB51" i="8"/>
  <c r="AK51" i="8" s="1"/>
  <c r="AB45" i="8"/>
  <c r="AK45" i="8" s="1"/>
  <c r="AB109" i="8"/>
  <c r="AK109" i="8" s="1"/>
  <c r="AB55" i="8"/>
  <c r="AK55" i="8" s="1"/>
  <c r="AB119" i="8"/>
  <c r="AK119" i="8" s="1"/>
  <c r="AB107" i="8"/>
  <c r="AK107" i="8" s="1"/>
  <c r="AB34" i="8"/>
  <c r="AK34" i="8" s="1"/>
  <c r="AB66" i="8"/>
  <c r="AK66" i="8" s="1"/>
  <c r="AB9" i="8"/>
  <c r="AK9" i="8" s="1"/>
  <c r="AB73" i="8"/>
  <c r="AK73" i="8" s="1"/>
  <c r="AB11" i="8"/>
  <c r="AK11" i="8" s="1"/>
  <c r="AB21" i="8"/>
  <c r="AK21" i="8" s="1"/>
  <c r="AB85" i="8"/>
  <c r="AK85" i="8" s="1"/>
  <c r="AB31" i="8"/>
  <c r="AK31" i="8" s="1"/>
  <c r="AB95" i="8"/>
  <c r="AK95" i="8" s="1"/>
  <c r="AB67" i="8"/>
  <c r="AK67" i="8" s="1"/>
  <c r="AB16" i="8"/>
  <c r="AK16" i="8" s="1"/>
  <c r="AB48" i="8"/>
  <c r="AK48" i="8" s="1"/>
  <c r="AB80" i="8"/>
  <c r="AK80" i="8" s="1"/>
  <c r="AB112" i="8"/>
  <c r="AK112" i="8" s="1"/>
  <c r="AB118" i="8"/>
  <c r="AK118" i="8" s="1"/>
  <c r="AB20" i="8"/>
  <c r="AK20" i="8" s="1"/>
  <c r="AB52" i="8"/>
  <c r="AK52" i="8" s="1"/>
  <c r="AB84" i="8"/>
  <c r="AK84" i="8" s="1"/>
  <c r="AB116" i="8"/>
  <c r="AK116" i="8" s="1"/>
  <c r="AB90" i="8"/>
  <c r="AK90" i="8" s="1"/>
  <c r="AB122" i="8"/>
  <c r="AK122" i="8" s="1"/>
  <c r="AB24" i="8"/>
  <c r="AK24" i="8" s="1"/>
  <c r="AB56" i="8"/>
  <c r="AK56" i="8" s="1"/>
  <c r="AB88" i="8"/>
  <c r="AK88" i="8" s="1"/>
  <c r="AB120" i="8"/>
  <c r="AK120" i="8" s="1"/>
  <c r="AB94" i="8"/>
  <c r="AK94" i="8" s="1"/>
  <c r="AB126" i="8"/>
  <c r="AK126" i="8" s="1"/>
  <c r="AB12" i="8"/>
  <c r="AK12" i="8" s="1"/>
  <c r="AB44" i="8"/>
  <c r="AK44" i="8" s="1"/>
  <c r="AB76" i="8"/>
  <c r="AK76" i="8" s="1"/>
  <c r="AB108" i="8"/>
  <c r="AK108" i="8" s="1"/>
  <c r="AB114" i="8"/>
  <c r="AK114" i="8" s="1"/>
  <c r="R8" i="10" l="1"/>
  <c r="AG58" i="10"/>
  <c r="AG23" i="10"/>
  <c r="AG127" i="10"/>
  <c r="AG96" i="10"/>
  <c r="AG17" i="10"/>
  <c r="AG73" i="10"/>
  <c r="AG128" i="10"/>
  <c r="AG48" i="10"/>
  <c r="AI60" i="10"/>
  <c r="AJ60" i="10" s="1"/>
  <c r="AG60" i="10"/>
  <c r="O60" i="10"/>
  <c r="P60" i="10" s="1"/>
  <c r="AI26" i="10"/>
  <c r="AJ26" i="10" s="1"/>
  <c r="AB8" i="10"/>
  <c r="AC8" i="10" s="1"/>
  <c r="S8" i="10"/>
  <c r="T8" i="10" s="1"/>
  <c r="AB75" i="10"/>
  <c r="AC75" i="10" s="1"/>
  <c r="AB86" i="10"/>
  <c r="AC86" i="10" s="1"/>
  <c r="AG24" i="10"/>
  <c r="AB12" i="10"/>
  <c r="AC12" i="10" s="1"/>
  <c r="AB84" i="10"/>
  <c r="AC84" i="10" s="1"/>
  <c r="AB65" i="10"/>
  <c r="AC65" i="10" s="1"/>
  <c r="AB117" i="10"/>
  <c r="AC117" i="10" s="1"/>
  <c r="AB57" i="10"/>
  <c r="AC57" i="10" s="1"/>
  <c r="AB60" i="10"/>
  <c r="AC60" i="10" s="1"/>
  <c r="AB26" i="10"/>
  <c r="AC26" i="10" s="1"/>
  <c r="AB27" i="10"/>
  <c r="AC27" i="10" s="1"/>
  <c r="AB125" i="10"/>
  <c r="AC125" i="10" s="1"/>
  <c r="AB101" i="10"/>
  <c r="AC101" i="10" s="1"/>
  <c r="O26" i="10"/>
  <c r="P26" i="10" s="1"/>
  <c r="AB54" i="10"/>
  <c r="AC54" i="10" s="1"/>
  <c r="AB83" i="10"/>
  <c r="AC83" i="10" s="1"/>
  <c r="AB126" i="10"/>
  <c r="AC126" i="10" s="1"/>
  <c r="AB44" i="10"/>
  <c r="AC44" i="10" s="1"/>
  <c r="AB17" i="10"/>
  <c r="AC17" i="10" s="1"/>
  <c r="AB128" i="10"/>
  <c r="AC128" i="10" s="1"/>
  <c r="AB15" i="10"/>
  <c r="AC15" i="10" s="1"/>
  <c r="AB68" i="10"/>
  <c r="AC68" i="10" s="1"/>
  <c r="AB24" i="10"/>
  <c r="AC24" i="10" s="1"/>
  <c r="AB97" i="10"/>
  <c r="AC97" i="10" s="1"/>
  <c r="AB102" i="10"/>
  <c r="AC102" i="10" s="1"/>
  <c r="AB21" i="10"/>
  <c r="AC21" i="10" s="1"/>
  <c r="AB45" i="10"/>
  <c r="AC45" i="10" s="1"/>
  <c r="AB33" i="10"/>
  <c r="AC33" i="10" s="1"/>
  <c r="AB98" i="10"/>
  <c r="AC98" i="10" s="1"/>
  <c r="AB69" i="10"/>
  <c r="AC69" i="10" s="1"/>
  <c r="AB63" i="10"/>
  <c r="AC63" i="10" s="1"/>
  <c r="AB71" i="10"/>
  <c r="AC71" i="10" s="1"/>
  <c r="AB50" i="10"/>
  <c r="AC50" i="10" s="1"/>
  <c r="AB108" i="10"/>
  <c r="AC108" i="10" s="1"/>
  <c r="AB72" i="10"/>
  <c r="AC72" i="10" s="1"/>
  <c r="AB40" i="10"/>
  <c r="AC40" i="10" s="1"/>
  <c r="AB95" i="10"/>
  <c r="AC95" i="10" s="1"/>
  <c r="AB11" i="10"/>
  <c r="AC11" i="10" s="1"/>
  <c r="AB99" i="10"/>
  <c r="AC99" i="10" s="1"/>
  <c r="AB94" i="10"/>
  <c r="AC94" i="10" s="1"/>
  <c r="AB104" i="10"/>
  <c r="AC104" i="10" s="1"/>
  <c r="AB120" i="10"/>
  <c r="AC120" i="10" s="1"/>
  <c r="AB51" i="10"/>
  <c r="AC51" i="10" s="1"/>
  <c r="AB119" i="10"/>
  <c r="AC119" i="10" s="1"/>
  <c r="AB18" i="10"/>
  <c r="AC18" i="10" s="1"/>
  <c r="AB46" i="10"/>
  <c r="AC46" i="10" s="1"/>
  <c r="AB105" i="10"/>
  <c r="AC105" i="10" s="1"/>
  <c r="AB70" i="10"/>
  <c r="AC70" i="10" s="1"/>
  <c r="AB111" i="10"/>
  <c r="AC111" i="10" s="1"/>
  <c r="Q16" i="10"/>
  <c r="R16" i="10" s="1"/>
  <c r="S16" i="10"/>
  <c r="T16" i="10" s="1"/>
  <c r="Q55" i="10"/>
  <c r="R55" i="10" s="1"/>
  <c r="S55" i="10"/>
  <c r="T55" i="10" s="1"/>
  <c r="AI18" i="10"/>
  <c r="AJ18" i="10" s="1"/>
  <c r="AG16" i="10"/>
  <c r="O18" i="10"/>
  <c r="P18" i="10" s="1"/>
  <c r="AI53" i="10"/>
  <c r="AJ53" i="10" s="1"/>
  <c r="AG51" i="10"/>
  <c r="O53" i="10"/>
  <c r="AG40" i="10"/>
  <c r="O42" i="10"/>
  <c r="AI42" i="10"/>
  <c r="AJ42" i="10" s="1"/>
  <c r="AG28" i="10"/>
  <c r="AI30" i="10"/>
  <c r="AJ30" i="10" s="1"/>
  <c r="O30" i="10"/>
  <c r="S89" i="10"/>
  <c r="T89" i="10" s="1"/>
  <c r="Q89" i="10"/>
  <c r="R89" i="10" s="1"/>
  <c r="Q112" i="10"/>
  <c r="R112" i="10" s="1"/>
  <c r="S112" i="10"/>
  <c r="T112" i="10" s="1"/>
  <c r="AG34" i="10"/>
  <c r="O36" i="10"/>
  <c r="AI36" i="10"/>
  <c r="AJ36" i="10" s="1"/>
  <c r="S74" i="10"/>
  <c r="T74" i="10" s="1"/>
  <c r="Q74" i="10"/>
  <c r="R74" i="10" s="1"/>
  <c r="AG115" i="10"/>
  <c r="O117" i="10"/>
  <c r="P117" i="10" s="1"/>
  <c r="AI117" i="10"/>
  <c r="AJ117" i="10" s="1"/>
  <c r="AI61" i="10"/>
  <c r="AJ61" i="10" s="1"/>
  <c r="O61" i="10"/>
  <c r="AG59" i="10"/>
  <c r="U107" i="10"/>
  <c r="V107" i="10" s="1"/>
  <c r="AB107" i="10"/>
  <c r="AC107" i="10" s="1"/>
  <c r="AI101" i="10"/>
  <c r="AJ101" i="10" s="1"/>
  <c r="AG99" i="10"/>
  <c r="O101" i="10"/>
  <c r="P101" i="10" s="1"/>
  <c r="AG116" i="10"/>
  <c r="O118" i="10"/>
  <c r="AI118" i="10"/>
  <c r="AJ118" i="10" s="1"/>
  <c r="AI128" i="10"/>
  <c r="AJ128" i="10" s="1"/>
  <c r="O128" i="10"/>
  <c r="P128" i="10" s="1"/>
  <c r="AG126" i="10"/>
  <c r="AG78" i="10"/>
  <c r="AI80" i="10"/>
  <c r="AJ80" i="10" s="1"/>
  <c r="O80" i="10"/>
  <c r="O93" i="10"/>
  <c r="P93" i="10" s="1"/>
  <c r="AG91" i="10"/>
  <c r="AI93" i="10"/>
  <c r="AJ93" i="10" s="1"/>
  <c r="O48" i="10"/>
  <c r="AG46" i="10"/>
  <c r="AI48" i="10"/>
  <c r="AJ48" i="10" s="1"/>
  <c r="O100" i="10"/>
  <c r="AG98" i="10"/>
  <c r="AI100" i="10"/>
  <c r="AJ100" i="10" s="1"/>
  <c r="O45" i="10"/>
  <c r="P45" i="10" s="1"/>
  <c r="AI45" i="10"/>
  <c r="AJ45" i="10" s="1"/>
  <c r="AG43" i="10"/>
  <c r="AB115" i="10"/>
  <c r="AC115" i="10" s="1"/>
  <c r="AI97" i="10"/>
  <c r="AJ97" i="10" s="1"/>
  <c r="O97" i="10"/>
  <c r="P97" i="10" s="1"/>
  <c r="AG95" i="10"/>
  <c r="AI122" i="10"/>
  <c r="AJ122" i="10" s="1"/>
  <c r="AG120" i="10"/>
  <c r="O122" i="10"/>
  <c r="Q44" i="10"/>
  <c r="R44" i="10" s="1"/>
  <c r="S44" i="10"/>
  <c r="T44" i="10" s="1"/>
  <c r="O106" i="10"/>
  <c r="AI106" i="10"/>
  <c r="AJ106" i="10" s="1"/>
  <c r="AG104" i="10"/>
  <c r="Q28" i="10"/>
  <c r="R28" i="10" s="1"/>
  <c r="S28" i="10"/>
  <c r="T28" i="10" s="1"/>
  <c r="S12" i="10"/>
  <c r="T12" i="10" s="1"/>
  <c r="Q12" i="10"/>
  <c r="R12" i="10" s="1"/>
  <c r="S104" i="10"/>
  <c r="T104" i="10" s="1"/>
  <c r="Q104" i="10"/>
  <c r="R104" i="10" s="1"/>
  <c r="AB77" i="10"/>
  <c r="AC77" i="10" s="1"/>
  <c r="AB37" i="10"/>
  <c r="AC37" i="10" s="1"/>
  <c r="U39" i="10"/>
  <c r="V39" i="10" s="1"/>
  <c r="AB39" i="10"/>
  <c r="AC39" i="10" s="1"/>
  <c r="S18" i="10"/>
  <c r="T18" i="10" s="1"/>
  <c r="Q18" i="10"/>
  <c r="R18" i="10" s="1"/>
  <c r="S14" i="10"/>
  <c r="T14" i="10" s="1"/>
  <c r="Q14" i="10"/>
  <c r="R14" i="10" s="1"/>
  <c r="S53" i="10"/>
  <c r="T53" i="10" s="1"/>
  <c r="Q53" i="10"/>
  <c r="R53" i="10" s="1"/>
  <c r="U47" i="10"/>
  <c r="V47" i="10" s="1"/>
  <c r="AB47" i="10"/>
  <c r="AC47" i="10" s="1"/>
  <c r="AI20" i="10"/>
  <c r="AJ20" i="10" s="1"/>
  <c r="O20" i="10"/>
  <c r="AG18" i="10"/>
  <c r="AI115" i="10"/>
  <c r="AJ115" i="10" s="1"/>
  <c r="AG113" i="10"/>
  <c r="O115" i="10"/>
  <c r="S90" i="10"/>
  <c r="T90" i="10" s="1"/>
  <c r="Q90" i="10"/>
  <c r="R90" i="10" s="1"/>
  <c r="AI88" i="10"/>
  <c r="AJ88" i="10" s="1"/>
  <c r="O88" i="10"/>
  <c r="AG86" i="10"/>
  <c r="S117" i="10"/>
  <c r="T117" i="10" s="1"/>
  <c r="Q117" i="10"/>
  <c r="R117" i="10" s="1"/>
  <c r="U92" i="10"/>
  <c r="V92" i="10" s="1"/>
  <c r="AB92" i="10"/>
  <c r="AC92" i="10" s="1"/>
  <c r="AG97" i="10"/>
  <c r="AI99" i="10"/>
  <c r="AJ99" i="10" s="1"/>
  <c r="O99" i="10"/>
  <c r="S64" i="10"/>
  <c r="T64" i="10" s="1"/>
  <c r="Q64" i="10"/>
  <c r="R64" i="10" s="1"/>
  <c r="S67" i="10"/>
  <c r="T67" i="10" s="1"/>
  <c r="Q67" i="10"/>
  <c r="R67" i="10" s="1"/>
  <c r="S103" i="10"/>
  <c r="T103" i="10" s="1"/>
  <c r="Q103" i="10"/>
  <c r="R103" i="10" s="1"/>
  <c r="U49" i="10"/>
  <c r="V49" i="10" s="1"/>
  <c r="AB49" i="10"/>
  <c r="AC49" i="10" s="1"/>
  <c r="S114" i="10"/>
  <c r="T114" i="10" s="1"/>
  <c r="Q114" i="10"/>
  <c r="R114" i="10" s="1"/>
  <c r="S119" i="10"/>
  <c r="T119" i="10" s="1"/>
  <c r="Q119" i="10"/>
  <c r="R119" i="10" s="1"/>
  <c r="S80" i="10"/>
  <c r="T80" i="10" s="1"/>
  <c r="Q80" i="10"/>
  <c r="R80" i="10" s="1"/>
  <c r="AI40" i="10"/>
  <c r="AJ40" i="10" s="1"/>
  <c r="O40" i="10"/>
  <c r="AG38" i="10"/>
  <c r="AI121" i="10"/>
  <c r="AJ121" i="10" s="1"/>
  <c r="O121" i="10"/>
  <c r="AG119" i="10"/>
  <c r="S24" i="10"/>
  <c r="T24" i="10" s="1"/>
  <c r="Q24" i="10"/>
  <c r="R24" i="10" s="1"/>
  <c r="S27" i="10"/>
  <c r="T27" i="10" s="1"/>
  <c r="Q27" i="10"/>
  <c r="R27" i="10" s="1"/>
  <c r="S35" i="10"/>
  <c r="T35" i="10" s="1"/>
  <c r="Q35" i="10"/>
  <c r="R35" i="10" s="1"/>
  <c r="Q19" i="10"/>
  <c r="R19" i="10" s="1"/>
  <c r="S19" i="10"/>
  <c r="T19" i="10" s="1"/>
  <c r="O108" i="10"/>
  <c r="P108" i="10" s="1"/>
  <c r="AI108" i="10"/>
  <c r="AJ108" i="10" s="1"/>
  <c r="AG106" i="10"/>
  <c r="AG74" i="10"/>
  <c r="AI76" i="10"/>
  <c r="AJ76" i="10" s="1"/>
  <c r="O76" i="10"/>
  <c r="P76" i="10" s="1"/>
  <c r="S126" i="10"/>
  <c r="T126" i="10" s="1"/>
  <c r="Q126" i="10"/>
  <c r="R126" i="10" s="1"/>
  <c r="U48" i="10"/>
  <c r="V48" i="10" s="1"/>
  <c r="AB48" i="10"/>
  <c r="AC48" i="10" s="1"/>
  <c r="U100" i="10"/>
  <c r="V100" i="10" s="1"/>
  <c r="AB100" i="10"/>
  <c r="AC100" i="10" s="1"/>
  <c r="S13" i="10"/>
  <c r="T13" i="10" s="1"/>
  <c r="Q13" i="10"/>
  <c r="R13" i="10" s="1"/>
  <c r="Q122" i="10"/>
  <c r="R122" i="10" s="1"/>
  <c r="S122" i="10"/>
  <c r="T122" i="10" s="1"/>
  <c r="S123" i="10"/>
  <c r="T123" i="10" s="1"/>
  <c r="Q123" i="10"/>
  <c r="R123" i="10" s="1"/>
  <c r="Q57" i="10"/>
  <c r="R57" i="10" s="1"/>
  <c r="S57" i="10"/>
  <c r="T57" i="10" s="1"/>
  <c r="O104" i="10"/>
  <c r="P104" i="10" s="1"/>
  <c r="AI104" i="10"/>
  <c r="AJ104" i="10" s="1"/>
  <c r="AG102" i="10"/>
  <c r="AB19" i="10"/>
  <c r="AC19" i="10" s="1"/>
  <c r="AB38" i="10"/>
  <c r="AC38" i="10" s="1"/>
  <c r="AB90" i="10"/>
  <c r="AC90" i="10" s="1"/>
  <c r="AB29" i="10"/>
  <c r="AC29" i="10" s="1"/>
  <c r="AB16" i="10"/>
  <c r="AC16" i="10" s="1"/>
  <c r="AB36" i="10"/>
  <c r="AC36" i="10" s="1"/>
  <c r="AB76" i="10"/>
  <c r="AC76" i="10" s="1"/>
  <c r="AB64" i="10"/>
  <c r="AC64" i="10" s="1"/>
  <c r="AB88" i="10"/>
  <c r="AC88" i="10" s="1"/>
  <c r="U55" i="10"/>
  <c r="V55" i="10" s="1"/>
  <c r="AB55" i="10"/>
  <c r="AC55" i="10" s="1"/>
  <c r="U41" i="10"/>
  <c r="V41" i="10" s="1"/>
  <c r="AB41" i="10"/>
  <c r="AC41" i="10" s="1"/>
  <c r="S11" i="10"/>
  <c r="T11" i="10" s="1"/>
  <c r="Q11" i="10"/>
  <c r="R11" i="10" s="1"/>
  <c r="AI125" i="10"/>
  <c r="AJ125" i="10" s="1"/>
  <c r="O125" i="10"/>
  <c r="P125" i="10" s="1"/>
  <c r="AG123" i="10"/>
  <c r="AI89" i="10"/>
  <c r="AJ89" i="10" s="1"/>
  <c r="AG87" i="10"/>
  <c r="O89" i="10"/>
  <c r="AG82" i="10"/>
  <c r="AI84" i="10"/>
  <c r="AJ84" i="10" s="1"/>
  <c r="O84" i="10"/>
  <c r="P84" i="10" s="1"/>
  <c r="O112" i="10"/>
  <c r="P112" i="10" s="1"/>
  <c r="AI112" i="10"/>
  <c r="AJ112" i="10" s="1"/>
  <c r="AG110" i="10"/>
  <c r="AG118" i="10"/>
  <c r="O120" i="10"/>
  <c r="P120" i="10" s="1"/>
  <c r="AI120" i="10"/>
  <c r="AJ120" i="10" s="1"/>
  <c r="U124" i="10"/>
  <c r="V124" i="10" s="1"/>
  <c r="AB124" i="10"/>
  <c r="AC124" i="10" s="1"/>
  <c r="Q9" i="10"/>
  <c r="R9" i="10" s="1"/>
  <c r="S9" i="10"/>
  <c r="T9" i="10" s="1"/>
  <c r="S113" i="10"/>
  <c r="T113" i="10" s="1"/>
  <c r="Q113" i="10"/>
  <c r="R113" i="10" s="1"/>
  <c r="S115" i="10"/>
  <c r="T115" i="10" s="1"/>
  <c r="Q115" i="10"/>
  <c r="R115" i="10" s="1"/>
  <c r="O116" i="10"/>
  <c r="AG114" i="10"/>
  <c r="AI116" i="10"/>
  <c r="AJ116" i="10" s="1"/>
  <c r="AI74" i="10"/>
  <c r="AJ74" i="10" s="1"/>
  <c r="AG72" i="10"/>
  <c r="O74" i="10"/>
  <c r="AI10" i="10"/>
  <c r="AJ10" i="10" s="1"/>
  <c r="AG8" i="10"/>
  <c r="O10" i="10"/>
  <c r="P10" i="10" s="1"/>
  <c r="O17" i="10"/>
  <c r="P17" i="10" s="1"/>
  <c r="AI17" i="10"/>
  <c r="AJ17" i="10" s="1"/>
  <c r="AG15" i="10"/>
  <c r="AG89" i="10"/>
  <c r="AI91" i="10"/>
  <c r="AJ91" i="10" s="1"/>
  <c r="O91" i="10"/>
  <c r="S88" i="10"/>
  <c r="T88" i="10" s="1"/>
  <c r="Q88" i="10"/>
  <c r="R88" i="10" s="1"/>
  <c r="S61" i="10"/>
  <c r="T61" i="10" s="1"/>
  <c r="Q61" i="10"/>
  <c r="R61" i="10" s="1"/>
  <c r="Q79" i="10"/>
  <c r="R79" i="10" s="1"/>
  <c r="S79" i="10"/>
  <c r="T79" i="10" s="1"/>
  <c r="AB116" i="10"/>
  <c r="AC116" i="10" s="1"/>
  <c r="AG105" i="10"/>
  <c r="AI107" i="10"/>
  <c r="AJ107" i="10" s="1"/>
  <c r="O107" i="10"/>
  <c r="O68" i="10"/>
  <c r="AI68" i="10"/>
  <c r="AJ68" i="10" s="1"/>
  <c r="AG66" i="10"/>
  <c r="U78" i="10"/>
  <c r="V78" i="10" s="1"/>
  <c r="AB78" i="10"/>
  <c r="AC78" i="10" s="1"/>
  <c r="S70" i="10"/>
  <c r="T70" i="10" s="1"/>
  <c r="Q70" i="10"/>
  <c r="R70" i="10" s="1"/>
  <c r="U67" i="10"/>
  <c r="V67" i="10" s="1"/>
  <c r="AB67" i="10"/>
  <c r="AC67" i="10" s="1"/>
  <c r="U34" i="10"/>
  <c r="V34" i="10" s="1"/>
  <c r="AB34" i="10"/>
  <c r="AC34" i="10" s="1"/>
  <c r="O103" i="10"/>
  <c r="AI103" i="10"/>
  <c r="AJ103" i="10" s="1"/>
  <c r="AG101" i="10"/>
  <c r="S49" i="10"/>
  <c r="T49" i="10" s="1"/>
  <c r="Q49" i="10"/>
  <c r="R49" i="10" s="1"/>
  <c r="Q71" i="10"/>
  <c r="R71" i="10" s="1"/>
  <c r="S71" i="10"/>
  <c r="T71" i="10" s="1"/>
  <c r="U80" i="10"/>
  <c r="V80" i="10" s="1"/>
  <c r="AB80" i="10"/>
  <c r="AC80" i="10" s="1"/>
  <c r="Q82" i="10"/>
  <c r="R82" i="10" s="1"/>
  <c r="S82" i="10"/>
  <c r="T82" i="10" s="1"/>
  <c r="S93" i="10"/>
  <c r="T93" i="10" s="1"/>
  <c r="Q93" i="10"/>
  <c r="R93" i="10" s="1"/>
  <c r="U121" i="10"/>
  <c r="V121" i="10" s="1"/>
  <c r="AB121" i="10"/>
  <c r="AC121" i="10" s="1"/>
  <c r="U35" i="10"/>
  <c r="V35" i="10" s="1"/>
  <c r="AB35" i="10"/>
  <c r="AC35" i="10" s="1"/>
  <c r="S72" i="10"/>
  <c r="T72" i="10" s="1"/>
  <c r="Q72" i="10"/>
  <c r="R72" i="10" s="1"/>
  <c r="S109" i="10"/>
  <c r="T109" i="10" s="1"/>
  <c r="Q109" i="10"/>
  <c r="R109" i="10" s="1"/>
  <c r="S108" i="10"/>
  <c r="T108" i="10" s="1"/>
  <c r="Q108" i="10"/>
  <c r="R108" i="10" s="1"/>
  <c r="Q87" i="10"/>
  <c r="R87" i="10" s="1"/>
  <c r="S87" i="10"/>
  <c r="T87" i="10" s="1"/>
  <c r="AI110" i="10"/>
  <c r="AJ110" i="10" s="1"/>
  <c r="O110" i="10"/>
  <c r="AG108" i="10"/>
  <c r="O86" i="10"/>
  <c r="P86" i="10" s="1"/>
  <c r="AI86" i="10"/>
  <c r="AJ86" i="10" s="1"/>
  <c r="AG84" i="10"/>
  <c r="AI77" i="10"/>
  <c r="AJ77" i="10" s="1"/>
  <c r="AG75" i="10"/>
  <c r="O77" i="10"/>
  <c r="P77" i="10" s="1"/>
  <c r="O23" i="10"/>
  <c r="P23" i="10" s="1"/>
  <c r="AI23" i="10"/>
  <c r="AJ23" i="10" s="1"/>
  <c r="AG21" i="10"/>
  <c r="AG29" i="10"/>
  <c r="AI31" i="10"/>
  <c r="AJ31" i="10" s="1"/>
  <c r="O31" i="10"/>
  <c r="AG67" i="10"/>
  <c r="AI69" i="10"/>
  <c r="AJ69" i="10" s="1"/>
  <c r="O69" i="10"/>
  <c r="S48" i="10"/>
  <c r="T48" i="10" s="1"/>
  <c r="Q48" i="10"/>
  <c r="R48" i="10" s="1"/>
  <c r="S100" i="10"/>
  <c r="T100" i="10" s="1"/>
  <c r="Q100" i="10"/>
  <c r="R100" i="10" s="1"/>
  <c r="S45" i="10"/>
  <c r="T45" i="10" s="1"/>
  <c r="Q45" i="10"/>
  <c r="R45" i="10" s="1"/>
  <c r="S37" i="10"/>
  <c r="T37" i="10" s="1"/>
  <c r="Q37" i="10"/>
  <c r="R37" i="10" s="1"/>
  <c r="S58" i="10"/>
  <c r="T58" i="10" s="1"/>
  <c r="Q58" i="10"/>
  <c r="R58" i="10" s="1"/>
  <c r="U122" i="10"/>
  <c r="V122" i="10" s="1"/>
  <c r="AB122" i="10"/>
  <c r="AC122" i="10" s="1"/>
  <c r="AB58" i="10"/>
  <c r="AC58" i="10" s="1"/>
  <c r="U81" i="10"/>
  <c r="V81" i="10" s="1"/>
  <c r="AB81" i="10"/>
  <c r="AC81" i="10" s="1"/>
  <c r="Q52" i="10"/>
  <c r="S52" i="10"/>
  <c r="T52" i="10" s="1"/>
  <c r="Q106" i="10"/>
  <c r="R106" i="10" s="1"/>
  <c r="S106" i="10"/>
  <c r="T106" i="10" s="1"/>
  <c r="U123" i="10"/>
  <c r="V123" i="10" s="1"/>
  <c r="AB123" i="10"/>
  <c r="AC123" i="10" s="1"/>
  <c r="U28" i="10"/>
  <c r="V28" i="10" s="1"/>
  <c r="AB28" i="10"/>
  <c r="AC28" i="10" s="1"/>
  <c r="U96" i="10"/>
  <c r="V96" i="10" s="1"/>
  <c r="AB96" i="10"/>
  <c r="AC96" i="10" s="1"/>
  <c r="Q38" i="10"/>
  <c r="R38" i="10" s="1"/>
  <c r="S38" i="10"/>
  <c r="T38" i="10" s="1"/>
  <c r="O57" i="10"/>
  <c r="P57" i="10" s="1"/>
  <c r="AG55" i="10"/>
  <c r="AI57" i="10"/>
  <c r="AJ57" i="10" s="1"/>
  <c r="AB53" i="10"/>
  <c r="AC53" i="10" s="1"/>
  <c r="Q39" i="10"/>
  <c r="R39" i="10" s="1"/>
  <c r="S39" i="10"/>
  <c r="T39" i="10" s="1"/>
  <c r="AI78" i="10"/>
  <c r="AJ78" i="10" s="1"/>
  <c r="AG76" i="10"/>
  <c r="O78" i="10"/>
  <c r="AI14" i="10"/>
  <c r="AJ14" i="10" s="1"/>
  <c r="AG12" i="10"/>
  <c r="O14" i="10"/>
  <c r="O41" i="10"/>
  <c r="AI41" i="10"/>
  <c r="AJ41" i="10" s="1"/>
  <c r="AG39" i="10"/>
  <c r="O126" i="10"/>
  <c r="P126" i="10" s="1"/>
  <c r="AI126" i="10"/>
  <c r="AJ126" i="10" s="1"/>
  <c r="AG124" i="10"/>
  <c r="O11" i="10"/>
  <c r="P11" i="10" s="1"/>
  <c r="AI11" i="10"/>
  <c r="AJ11" i="10" s="1"/>
  <c r="AG9" i="10"/>
  <c r="S50" i="10"/>
  <c r="T50" i="10" s="1"/>
  <c r="Q50" i="10"/>
  <c r="R50" i="10" s="1"/>
  <c r="U113" i="10"/>
  <c r="V113" i="10" s="1"/>
  <c r="AB113" i="10"/>
  <c r="AC113" i="10" s="1"/>
  <c r="AG103" i="10"/>
  <c r="AI105" i="10"/>
  <c r="AJ105" i="10" s="1"/>
  <c r="O105" i="10"/>
  <c r="S116" i="10"/>
  <c r="T116" i="10" s="1"/>
  <c r="Q116" i="10"/>
  <c r="R116" i="10" s="1"/>
  <c r="AI102" i="10"/>
  <c r="AJ102" i="10" s="1"/>
  <c r="O102" i="10"/>
  <c r="P102" i="10" s="1"/>
  <c r="AG100" i="10"/>
  <c r="U85" i="10"/>
  <c r="V85" i="10" s="1"/>
  <c r="AB85" i="10"/>
  <c r="AC85" i="10" s="1"/>
  <c r="Q68" i="10"/>
  <c r="R68" i="10" s="1"/>
  <c r="S68" i="10"/>
  <c r="T68" i="10" s="1"/>
  <c r="AG41" i="10"/>
  <c r="O43" i="10"/>
  <c r="AI43" i="10"/>
  <c r="AJ43" i="10" s="1"/>
  <c r="S66" i="10"/>
  <c r="T66" i="10" s="1"/>
  <c r="Q66" i="10"/>
  <c r="R66" i="10" s="1"/>
  <c r="AI49" i="10"/>
  <c r="AJ49" i="10" s="1"/>
  <c r="O49" i="10"/>
  <c r="AG47" i="10"/>
  <c r="U22" i="10"/>
  <c r="V22" i="10" s="1"/>
  <c r="AB22" i="10"/>
  <c r="AC22" i="10" s="1"/>
  <c r="AI114" i="10"/>
  <c r="AJ114" i="10" s="1"/>
  <c r="AG112" i="10"/>
  <c r="O114" i="10"/>
  <c r="O119" i="10"/>
  <c r="P119" i="10" s="1"/>
  <c r="AI119" i="10"/>
  <c r="AJ119" i="10" s="1"/>
  <c r="AG117" i="10"/>
  <c r="O71" i="10"/>
  <c r="P71" i="10" s="1"/>
  <c r="AG69" i="10"/>
  <c r="AI71" i="10"/>
  <c r="AJ71" i="10" s="1"/>
  <c r="O82" i="10"/>
  <c r="AI82" i="10"/>
  <c r="AJ82" i="10" s="1"/>
  <c r="AG80" i="10"/>
  <c r="S86" i="10"/>
  <c r="T86" i="10" s="1"/>
  <c r="Q86" i="10"/>
  <c r="R86" i="10" s="1"/>
  <c r="O127" i="10"/>
  <c r="AG125" i="10"/>
  <c r="AI127" i="10"/>
  <c r="AJ127" i="10" s="1"/>
  <c r="Q25" i="10"/>
  <c r="S25" i="10"/>
  <c r="T25" i="10" s="1"/>
  <c r="S23" i="10"/>
  <c r="T23" i="10" s="1"/>
  <c r="Q23" i="10"/>
  <c r="R23" i="10" s="1"/>
  <c r="S73" i="10"/>
  <c r="T73" i="10" s="1"/>
  <c r="Q73" i="10"/>
  <c r="R73" i="10" s="1"/>
  <c r="O65" i="10"/>
  <c r="AI65" i="10"/>
  <c r="AJ65" i="10" s="1"/>
  <c r="AG63" i="10"/>
  <c r="Q33" i="10"/>
  <c r="R33" i="10" s="1"/>
  <c r="S33" i="10"/>
  <c r="T33" i="10" s="1"/>
  <c r="S81" i="10"/>
  <c r="T81" i="10" s="1"/>
  <c r="Q81" i="10"/>
  <c r="R81" i="10" s="1"/>
  <c r="S21" i="10"/>
  <c r="T21" i="10" s="1"/>
  <c r="Q21" i="10"/>
  <c r="R21" i="10" s="1"/>
  <c r="Q46" i="10"/>
  <c r="R46" i="10" s="1"/>
  <c r="S46" i="10"/>
  <c r="T46" i="10" s="1"/>
  <c r="S96" i="10"/>
  <c r="T96" i="10" s="1"/>
  <c r="Q96" i="10"/>
  <c r="R96" i="10" s="1"/>
  <c r="AB109" i="10"/>
  <c r="AC109" i="10" s="1"/>
  <c r="AB110" i="10"/>
  <c r="AC110" i="10" s="1"/>
  <c r="U42" i="10"/>
  <c r="V42" i="10" s="1"/>
  <c r="AB42" i="10"/>
  <c r="AC42" i="10" s="1"/>
  <c r="O15" i="10"/>
  <c r="P15" i="10" s="1"/>
  <c r="AG13" i="10"/>
  <c r="AI15" i="10"/>
  <c r="AJ15" i="10" s="1"/>
  <c r="S30" i="10"/>
  <c r="T30" i="10" s="1"/>
  <c r="Q30" i="10"/>
  <c r="R30" i="10" s="1"/>
  <c r="Q62" i="10"/>
  <c r="S62" i="10"/>
  <c r="T62" i="10" s="1"/>
  <c r="U89" i="10"/>
  <c r="V89" i="10" s="1"/>
  <c r="AB89" i="10"/>
  <c r="AC89" i="10" s="1"/>
  <c r="S84" i="10"/>
  <c r="T84" i="10" s="1"/>
  <c r="Q84" i="10"/>
  <c r="R84" i="10" s="1"/>
  <c r="S120" i="10"/>
  <c r="T120" i="10" s="1"/>
  <c r="Q120" i="10"/>
  <c r="R120" i="10" s="1"/>
  <c r="AI124" i="10"/>
  <c r="AJ124" i="10" s="1"/>
  <c r="AG122" i="10"/>
  <c r="O124" i="10"/>
  <c r="S32" i="10"/>
  <c r="T32" i="10" s="1"/>
  <c r="Q32" i="10"/>
  <c r="R32" i="10" s="1"/>
  <c r="O9" i="10"/>
  <c r="AI9" i="10"/>
  <c r="AJ9" i="10" s="1"/>
  <c r="O113" i="10"/>
  <c r="AG111" i="10"/>
  <c r="AI113" i="10"/>
  <c r="AJ113" i="10" s="1"/>
  <c r="S83" i="10"/>
  <c r="T83" i="10" s="1"/>
  <c r="Q83" i="10"/>
  <c r="R83" i="10" s="1"/>
  <c r="Q91" i="10"/>
  <c r="R91" i="10" s="1"/>
  <c r="S91" i="10"/>
  <c r="T91" i="10" s="1"/>
  <c r="Q102" i="10"/>
  <c r="R102" i="10" s="1"/>
  <c r="S102" i="10"/>
  <c r="T102" i="10" s="1"/>
  <c r="U61" i="10"/>
  <c r="V61" i="10" s="1"/>
  <c r="AB61" i="10"/>
  <c r="AC61" i="10" s="1"/>
  <c r="O85" i="10"/>
  <c r="AI85" i="10"/>
  <c r="AJ85" i="10" s="1"/>
  <c r="AG83" i="10"/>
  <c r="S54" i="10"/>
  <c r="T54" i="10" s="1"/>
  <c r="Q54" i="10"/>
  <c r="R54" i="10" s="1"/>
  <c r="AI63" i="10"/>
  <c r="AJ63" i="10" s="1"/>
  <c r="AG61" i="10"/>
  <c r="O63" i="10"/>
  <c r="P63" i="10" s="1"/>
  <c r="S43" i="10"/>
  <c r="T43" i="10" s="1"/>
  <c r="Q43" i="10"/>
  <c r="R43" i="10" s="1"/>
  <c r="S94" i="10"/>
  <c r="T94" i="10" s="1"/>
  <c r="Q94" i="10"/>
  <c r="R94" i="10" s="1"/>
  <c r="S34" i="10"/>
  <c r="T34" i="10" s="1"/>
  <c r="Q34" i="10"/>
  <c r="R34" i="10" s="1"/>
  <c r="U66" i="10"/>
  <c r="V66" i="10" s="1"/>
  <c r="AB66" i="10"/>
  <c r="AC66" i="10" s="1"/>
  <c r="AG20" i="10"/>
  <c r="O22" i="10"/>
  <c r="AI22" i="10"/>
  <c r="AJ22" i="10" s="1"/>
  <c r="Q118" i="10"/>
  <c r="R118" i="10" s="1"/>
  <c r="S118" i="10"/>
  <c r="T118" i="10" s="1"/>
  <c r="Q128" i="10"/>
  <c r="R128" i="10" s="1"/>
  <c r="S128" i="10"/>
  <c r="T128" i="10" s="1"/>
  <c r="O109" i="10"/>
  <c r="P109" i="10" s="1"/>
  <c r="AI109" i="10"/>
  <c r="AJ109" i="10" s="1"/>
  <c r="AG107" i="10"/>
  <c r="AG57" i="10"/>
  <c r="O59" i="10"/>
  <c r="P59" i="10" s="1"/>
  <c r="AI59" i="10"/>
  <c r="AJ59" i="10" s="1"/>
  <c r="AI87" i="10"/>
  <c r="AJ87" i="10" s="1"/>
  <c r="AG85" i="10"/>
  <c r="O87" i="10"/>
  <c r="S31" i="10"/>
  <c r="T31" i="10" s="1"/>
  <c r="Q31" i="10"/>
  <c r="R31" i="10" s="1"/>
  <c r="S69" i="10"/>
  <c r="T69" i="10" s="1"/>
  <c r="Q69" i="10"/>
  <c r="R69" i="10" s="1"/>
  <c r="AG49" i="10"/>
  <c r="O51" i="10"/>
  <c r="P51" i="10" s="1"/>
  <c r="AI51" i="10"/>
  <c r="AJ51" i="10" s="1"/>
  <c r="S56" i="10"/>
  <c r="T56" i="10" s="1"/>
  <c r="Q56" i="10"/>
  <c r="R56" i="10" s="1"/>
  <c r="S65" i="10"/>
  <c r="T65" i="10" s="1"/>
  <c r="Q65" i="10"/>
  <c r="R65" i="10" s="1"/>
  <c r="AI58" i="10"/>
  <c r="AJ58" i="10" s="1"/>
  <c r="O58" i="10"/>
  <c r="AG56" i="10"/>
  <c r="AB52" i="10"/>
  <c r="AC52" i="10" s="1"/>
  <c r="Q97" i="10"/>
  <c r="R97" i="10" s="1"/>
  <c r="S97" i="10"/>
  <c r="T97" i="10" s="1"/>
  <c r="S29" i="10"/>
  <c r="T29" i="10" s="1"/>
  <c r="Q29" i="10"/>
  <c r="R29" i="10" s="1"/>
  <c r="AI95" i="10"/>
  <c r="AJ95" i="10" s="1"/>
  <c r="AG93" i="10"/>
  <c r="O95" i="10"/>
  <c r="AI111" i="10"/>
  <c r="AJ111" i="10" s="1"/>
  <c r="O111" i="10"/>
  <c r="AG109" i="10"/>
  <c r="AB32" i="10"/>
  <c r="AC32" i="10" s="1"/>
  <c r="AB56" i="10"/>
  <c r="AC56" i="10" s="1"/>
  <c r="AB13" i="10"/>
  <c r="AC13" i="10" s="1"/>
  <c r="AB10" i="10"/>
  <c r="AC10" i="10" s="1"/>
  <c r="AB79" i="10"/>
  <c r="AC79" i="10" s="1"/>
  <c r="AB23" i="10"/>
  <c r="AC23" i="10" s="1"/>
  <c r="AB93" i="10"/>
  <c r="AC93" i="10" s="1"/>
  <c r="AB59" i="10"/>
  <c r="AC59" i="10" s="1"/>
  <c r="AB112" i="10"/>
  <c r="AC112" i="10" s="1"/>
  <c r="AB87" i="10"/>
  <c r="AC87" i="10" s="1"/>
  <c r="AB127" i="10"/>
  <c r="AC127" i="10" s="1"/>
  <c r="AI16" i="10"/>
  <c r="AJ16" i="10" s="1"/>
  <c r="AG14" i="10"/>
  <c r="O16" i="10"/>
  <c r="P16" i="10" s="1"/>
  <c r="AG37" i="10"/>
  <c r="AI39" i="10"/>
  <c r="AJ39" i="10" s="1"/>
  <c r="O39" i="10"/>
  <c r="AG53" i="10"/>
  <c r="AI55" i="10"/>
  <c r="AJ55" i="10" s="1"/>
  <c r="O55" i="10"/>
  <c r="AI47" i="10"/>
  <c r="AJ47" i="10" s="1"/>
  <c r="O47" i="10"/>
  <c r="AG45" i="10"/>
  <c r="S42" i="10"/>
  <c r="T42" i="10" s="1"/>
  <c r="Q42" i="10"/>
  <c r="R42" i="10" s="1"/>
  <c r="S98" i="10"/>
  <c r="T98" i="10" s="1"/>
  <c r="Q98" i="10"/>
  <c r="R98" i="10" s="1"/>
  <c r="S15" i="10"/>
  <c r="T15" i="10" s="1"/>
  <c r="Q15" i="10"/>
  <c r="R15" i="10" s="1"/>
  <c r="U30" i="10"/>
  <c r="V30" i="10" s="1"/>
  <c r="AB30" i="10"/>
  <c r="AC30" i="10" s="1"/>
  <c r="U20" i="10"/>
  <c r="V20" i="10" s="1"/>
  <c r="AB20" i="10"/>
  <c r="AC20" i="10" s="1"/>
  <c r="S124" i="10"/>
  <c r="T124" i="10" s="1"/>
  <c r="Q124" i="10"/>
  <c r="R124" i="10" s="1"/>
  <c r="AG30" i="10"/>
  <c r="O32" i="10"/>
  <c r="P32" i="10" s="1"/>
  <c r="AI32" i="10"/>
  <c r="AJ32" i="10" s="1"/>
  <c r="S36" i="10"/>
  <c r="T36" i="10" s="1"/>
  <c r="Q36" i="10"/>
  <c r="R36" i="10" s="1"/>
  <c r="U9" i="10"/>
  <c r="V9" i="10" s="1"/>
  <c r="AB9" i="10"/>
  <c r="AC9" i="10" s="1"/>
  <c r="S105" i="10"/>
  <c r="T105" i="10" s="1"/>
  <c r="Q105" i="10"/>
  <c r="R105" i="10" s="1"/>
  <c r="U74" i="10"/>
  <c r="V74" i="10" s="1"/>
  <c r="AB74" i="10"/>
  <c r="AC74" i="10" s="1"/>
  <c r="S10" i="10"/>
  <c r="T10" i="10" s="1"/>
  <c r="Q10" i="10"/>
  <c r="R10" i="10" s="1"/>
  <c r="S17" i="10"/>
  <c r="T17" i="10" s="1"/>
  <c r="Q17" i="10"/>
  <c r="R17" i="10" s="1"/>
  <c r="O34" i="10"/>
  <c r="AI34" i="10"/>
  <c r="AJ34" i="10" s="1"/>
  <c r="AG32" i="10"/>
  <c r="AG81" i="10"/>
  <c r="O83" i="10"/>
  <c r="AI83" i="10"/>
  <c r="AJ83" i="10" s="1"/>
  <c r="O90" i="10"/>
  <c r="P90" i="10" s="1"/>
  <c r="AI90" i="10"/>
  <c r="AJ90" i="10" s="1"/>
  <c r="AG88" i="10"/>
  <c r="U91" i="10"/>
  <c r="V91" i="10" s="1"/>
  <c r="AB91" i="10"/>
  <c r="AC91" i="10" s="1"/>
  <c r="AI79" i="10"/>
  <c r="AJ79" i="10" s="1"/>
  <c r="O79" i="10"/>
  <c r="P79" i="10" s="1"/>
  <c r="AG77" i="10"/>
  <c r="Q85" i="10"/>
  <c r="R85" i="10" s="1"/>
  <c r="S85" i="10"/>
  <c r="T85" i="10" s="1"/>
  <c r="S107" i="10"/>
  <c r="T107" i="10" s="1"/>
  <c r="Q107" i="10"/>
  <c r="R107" i="10" s="1"/>
  <c r="V8" i="10"/>
  <c r="AI92" i="10"/>
  <c r="AJ92" i="10" s="1"/>
  <c r="O92" i="10"/>
  <c r="AG90" i="10"/>
  <c r="AG52" i="10"/>
  <c r="AI54" i="10"/>
  <c r="AJ54" i="10" s="1"/>
  <c r="O54" i="10"/>
  <c r="P54" i="10" s="1"/>
  <c r="AG68" i="10"/>
  <c r="O70" i="10"/>
  <c r="AI70" i="10"/>
  <c r="AJ70" i="10" s="1"/>
  <c r="Q63" i="10"/>
  <c r="R63" i="10" s="1"/>
  <c r="S63" i="10"/>
  <c r="T63" i="10" s="1"/>
  <c r="S99" i="10"/>
  <c r="T99" i="10" s="1"/>
  <c r="Q99" i="10"/>
  <c r="R99" i="10" s="1"/>
  <c r="U43" i="10"/>
  <c r="V43" i="10" s="1"/>
  <c r="AB43" i="10"/>
  <c r="AC43" i="10" s="1"/>
  <c r="O64" i="10"/>
  <c r="P64" i="10" s="1"/>
  <c r="AI64" i="10"/>
  <c r="AJ64" i="10" s="1"/>
  <c r="AG62" i="10"/>
  <c r="O94" i="10"/>
  <c r="P94" i="10" s="1"/>
  <c r="AG92" i="10"/>
  <c r="AI94" i="10"/>
  <c r="AJ94" i="10" s="1"/>
  <c r="AI67" i="10"/>
  <c r="AJ67" i="10" s="1"/>
  <c r="O67" i="10"/>
  <c r="AG65" i="10"/>
  <c r="AG64" i="10"/>
  <c r="O66" i="10"/>
  <c r="AI66" i="10"/>
  <c r="AJ66" i="10" s="1"/>
  <c r="U103" i="10"/>
  <c r="V103" i="10" s="1"/>
  <c r="AB103" i="10"/>
  <c r="AC103" i="10" s="1"/>
  <c r="S22" i="10"/>
  <c r="T22" i="10" s="1"/>
  <c r="Q22" i="10"/>
  <c r="R22" i="10" s="1"/>
  <c r="AB14" i="10"/>
  <c r="AC14" i="10" s="1"/>
  <c r="U114" i="10"/>
  <c r="V114" i="10" s="1"/>
  <c r="AB114" i="10"/>
  <c r="AC114" i="10" s="1"/>
  <c r="U118" i="10"/>
  <c r="V118" i="10" s="1"/>
  <c r="AB118" i="10"/>
  <c r="AC118" i="10" s="1"/>
  <c r="U82" i="10"/>
  <c r="V82" i="10" s="1"/>
  <c r="AB82" i="10"/>
  <c r="AC82" i="10" s="1"/>
  <c r="S75" i="10"/>
  <c r="T75" i="10" s="1"/>
  <c r="Q75" i="10"/>
  <c r="R75" i="10" s="1"/>
  <c r="S121" i="10"/>
  <c r="T121" i="10" s="1"/>
  <c r="Q121" i="10"/>
  <c r="R121" i="10" s="1"/>
  <c r="S125" i="10"/>
  <c r="T125" i="10" s="1"/>
  <c r="Q125" i="10"/>
  <c r="R125" i="10" s="1"/>
  <c r="AG22" i="10"/>
  <c r="AI24" i="10"/>
  <c r="AJ24" i="10" s="1"/>
  <c r="O24" i="10"/>
  <c r="AI27" i="10"/>
  <c r="AJ27" i="10" s="1"/>
  <c r="O27" i="10"/>
  <c r="P27" i="10" s="1"/>
  <c r="AG25" i="10"/>
  <c r="AG33" i="10"/>
  <c r="AI35" i="10"/>
  <c r="AJ35" i="10" s="1"/>
  <c r="O35" i="10"/>
  <c r="O72" i="10"/>
  <c r="AG70" i="10"/>
  <c r="AI72" i="10"/>
  <c r="AJ72" i="10" s="1"/>
  <c r="AB73" i="10"/>
  <c r="AC73" i="10" s="1"/>
  <c r="Q59" i="10"/>
  <c r="R59" i="10" s="1"/>
  <c r="S59" i="10"/>
  <c r="T59" i="10" s="1"/>
  <c r="S76" i="10"/>
  <c r="T76" i="10" s="1"/>
  <c r="Q76" i="10"/>
  <c r="R76" i="10" s="1"/>
  <c r="U31" i="10"/>
  <c r="V31" i="10" s="1"/>
  <c r="AB31" i="10"/>
  <c r="AC31" i="10" s="1"/>
  <c r="S51" i="10"/>
  <c r="T51" i="10" s="1"/>
  <c r="Q51" i="10"/>
  <c r="R51" i="10" s="1"/>
  <c r="AI73" i="10"/>
  <c r="AJ73" i="10" s="1"/>
  <c r="AG71" i="10"/>
  <c r="O73" i="10"/>
  <c r="U25" i="10"/>
  <c r="V25" i="10" s="1"/>
  <c r="AB25" i="10"/>
  <c r="AC25" i="10" s="1"/>
  <c r="AG54" i="10"/>
  <c r="AI56" i="10"/>
  <c r="AJ56" i="10" s="1"/>
  <c r="O56" i="10"/>
  <c r="P56" i="10" s="1"/>
  <c r="O13" i="10"/>
  <c r="P13" i="10" s="1"/>
  <c r="AG11" i="10"/>
  <c r="AI13" i="10"/>
  <c r="AJ13" i="10" s="1"/>
  <c r="AG35" i="10"/>
  <c r="AI37" i="10"/>
  <c r="AJ37" i="10" s="1"/>
  <c r="O37" i="10"/>
  <c r="P37" i="10" s="1"/>
  <c r="AG31" i="10"/>
  <c r="O33" i="10"/>
  <c r="P33" i="10" s="1"/>
  <c r="AI33" i="10"/>
  <c r="AJ33" i="10" s="1"/>
  <c r="O44" i="10"/>
  <c r="P44" i="10" s="1"/>
  <c r="AI44" i="10"/>
  <c r="AJ44" i="10" s="1"/>
  <c r="AG42" i="10"/>
  <c r="O81" i="10"/>
  <c r="AI81" i="10"/>
  <c r="AJ81" i="10" s="1"/>
  <c r="AG79" i="10"/>
  <c r="AI21" i="10"/>
  <c r="AJ21" i="10" s="1"/>
  <c r="O21" i="10"/>
  <c r="P21" i="10" s="1"/>
  <c r="AG19" i="10"/>
  <c r="AG27" i="10"/>
  <c r="AI29" i="10"/>
  <c r="AJ29" i="10" s="1"/>
  <c r="O29" i="10"/>
  <c r="P29" i="10" s="1"/>
  <c r="U106" i="10"/>
  <c r="V106" i="10" s="1"/>
  <c r="AB106" i="10"/>
  <c r="AC106" i="10" s="1"/>
  <c r="AG121" i="10"/>
  <c r="O123" i="10"/>
  <c r="AI123" i="10"/>
  <c r="AJ123" i="10" s="1"/>
  <c r="AB62" i="10"/>
  <c r="AC62" i="10" s="1"/>
  <c r="O28" i="10"/>
  <c r="AI28" i="10"/>
  <c r="AJ28" i="10" s="1"/>
  <c r="AG26" i="10"/>
  <c r="AI46" i="10"/>
  <c r="AJ46" i="10" s="1"/>
  <c r="O46" i="10"/>
  <c r="P46" i="10" s="1"/>
  <c r="AG44" i="10"/>
  <c r="AG10" i="10"/>
  <c r="O12" i="10"/>
  <c r="AI12" i="10"/>
  <c r="AJ12" i="10" s="1"/>
  <c r="AG94" i="10"/>
  <c r="AI96" i="10"/>
  <c r="AJ96" i="10" s="1"/>
  <c r="O96" i="10"/>
  <c r="AI38" i="10"/>
  <c r="AJ38" i="10" s="1"/>
  <c r="AG36" i="10"/>
  <c r="O38" i="10"/>
  <c r="P38" i="10" s="1"/>
  <c r="Q95" i="10"/>
  <c r="R95" i="10" s="1"/>
  <c r="S95" i="10"/>
  <c r="T95" i="10" s="1"/>
  <c r="S111" i="10"/>
  <c r="T111" i="10" s="1"/>
  <c r="Q111" i="10"/>
  <c r="R111" i="10" s="1"/>
  <c r="AC116" i="8"/>
  <c r="AL116" i="8"/>
  <c r="AC9" i="8"/>
  <c r="AL9" i="8"/>
  <c r="AC47" i="8"/>
  <c r="AL47" i="8"/>
  <c r="AC93" i="8"/>
  <c r="AL93" i="8"/>
  <c r="AC50" i="8"/>
  <c r="AL50" i="8"/>
  <c r="AC121" i="8"/>
  <c r="AL121" i="8"/>
  <c r="AC92" i="8"/>
  <c r="AL92" i="8"/>
  <c r="AC76" i="8"/>
  <c r="AL76" i="8"/>
  <c r="AC84" i="8"/>
  <c r="AL84" i="8"/>
  <c r="AC66" i="8"/>
  <c r="AL66" i="8"/>
  <c r="AC55" i="8"/>
  <c r="AL55" i="8"/>
  <c r="AC97" i="8"/>
  <c r="AL97" i="8"/>
  <c r="AC14" i="8"/>
  <c r="AL14" i="8"/>
  <c r="AC101" i="8"/>
  <c r="AL101" i="8"/>
  <c r="AC25" i="8"/>
  <c r="AL25" i="8"/>
  <c r="AC75" i="8"/>
  <c r="AL75" i="8"/>
  <c r="AC29" i="8"/>
  <c r="AL29" i="8"/>
  <c r="AC70" i="8"/>
  <c r="AL70" i="8"/>
  <c r="AC63" i="8"/>
  <c r="AL63" i="8"/>
  <c r="AC105" i="8"/>
  <c r="AL105" i="8"/>
  <c r="AC18" i="8"/>
  <c r="AL18" i="8"/>
  <c r="AC77" i="8"/>
  <c r="AL77" i="8"/>
  <c r="AC62" i="8"/>
  <c r="AL62" i="8"/>
  <c r="AC15" i="8"/>
  <c r="AL15" i="8"/>
  <c r="AC57" i="8"/>
  <c r="AL57" i="8"/>
  <c r="AC71" i="8"/>
  <c r="AL71" i="8"/>
  <c r="AC113" i="8"/>
  <c r="AL113" i="8"/>
  <c r="AC22" i="8"/>
  <c r="AL22" i="8"/>
  <c r="AC60" i="8"/>
  <c r="AL60" i="8"/>
  <c r="AC72" i="8"/>
  <c r="AL72" i="8"/>
  <c r="AC68" i="8"/>
  <c r="AL68" i="8"/>
  <c r="AC96" i="8"/>
  <c r="AL96" i="8"/>
  <c r="AC56" i="8"/>
  <c r="AL56" i="8"/>
  <c r="AC85" i="8"/>
  <c r="AL85" i="8"/>
  <c r="AC51" i="8"/>
  <c r="AL51" i="8"/>
  <c r="AC10" i="8"/>
  <c r="AL10" i="8"/>
  <c r="AC83" i="8"/>
  <c r="AL83" i="8"/>
  <c r="AC79" i="8"/>
  <c r="AL79" i="8"/>
  <c r="AC54" i="8"/>
  <c r="AL54" i="8"/>
  <c r="AC100" i="8"/>
  <c r="AL100" i="8"/>
  <c r="AC24" i="8"/>
  <c r="AL24" i="8"/>
  <c r="AC21" i="8"/>
  <c r="AL21" i="8"/>
  <c r="AC122" i="8"/>
  <c r="AL122" i="8"/>
  <c r="AC95" i="8"/>
  <c r="AL95" i="8"/>
  <c r="AC109" i="8"/>
  <c r="AL109" i="8"/>
  <c r="AC37" i="8"/>
  <c r="AL37" i="8"/>
  <c r="AC74" i="8"/>
  <c r="AL74" i="8"/>
  <c r="AC103" i="8"/>
  <c r="AL103" i="8"/>
  <c r="AC27" i="8"/>
  <c r="AL27" i="8"/>
  <c r="AC38" i="8"/>
  <c r="AL38" i="8"/>
  <c r="AC117" i="8"/>
  <c r="AL117" i="8"/>
  <c r="AC41" i="8"/>
  <c r="AL41" i="8"/>
  <c r="AC59" i="8"/>
  <c r="AL59" i="8"/>
  <c r="AC13" i="8"/>
  <c r="AL13" i="8"/>
  <c r="AC30" i="8"/>
  <c r="AL30" i="8"/>
  <c r="AC69" i="8"/>
  <c r="AL69" i="8"/>
  <c r="AC58" i="8"/>
  <c r="AL58" i="8"/>
  <c r="AC125" i="8"/>
  <c r="AL125" i="8"/>
  <c r="AC49" i="8"/>
  <c r="AL49" i="8"/>
  <c r="AC98" i="8"/>
  <c r="AL98" i="8"/>
  <c r="AC28" i="8"/>
  <c r="AL28" i="8"/>
  <c r="AC40" i="8"/>
  <c r="AL40" i="8"/>
  <c r="AC36" i="8"/>
  <c r="AL36" i="8"/>
  <c r="AC64" i="8"/>
  <c r="AL64" i="8"/>
  <c r="AC108" i="8"/>
  <c r="AL108" i="8"/>
  <c r="AC126" i="8"/>
  <c r="AL126" i="8"/>
  <c r="AC118" i="8"/>
  <c r="AL118" i="8"/>
  <c r="AC16" i="8"/>
  <c r="AL16" i="8"/>
  <c r="AC119" i="8"/>
  <c r="AL119" i="8"/>
  <c r="AC46" i="8"/>
  <c r="AL46" i="8"/>
  <c r="AC89" i="8"/>
  <c r="AL89" i="8"/>
  <c r="AC17" i="8"/>
  <c r="AL17" i="8"/>
  <c r="AC127" i="8"/>
  <c r="AL127" i="8"/>
  <c r="AC23" i="8"/>
  <c r="AL23" i="8"/>
  <c r="AC65" i="8"/>
  <c r="AL65" i="8"/>
  <c r="AC19" i="8"/>
  <c r="AL19" i="8"/>
  <c r="AC99" i="8"/>
  <c r="AL99" i="8"/>
  <c r="AC104" i="8"/>
  <c r="AL104" i="8"/>
  <c r="AC128" i="8"/>
  <c r="AC94" i="8"/>
  <c r="AL94" i="8"/>
  <c r="AC112" i="8"/>
  <c r="AL112" i="8"/>
  <c r="AC67" i="8"/>
  <c r="AL67" i="8"/>
  <c r="AC44" i="8"/>
  <c r="AL44" i="8"/>
  <c r="AC120" i="8"/>
  <c r="AL120" i="8"/>
  <c r="AC52" i="8"/>
  <c r="AL52" i="8"/>
  <c r="AC80" i="8"/>
  <c r="AL80" i="8"/>
  <c r="AC11" i="8"/>
  <c r="AL11" i="8"/>
  <c r="AC34" i="8"/>
  <c r="AL34" i="8"/>
  <c r="AC33" i="8"/>
  <c r="AL33" i="8"/>
  <c r="AC91" i="8"/>
  <c r="AL91" i="8"/>
  <c r="AC114" i="8"/>
  <c r="AL114" i="8"/>
  <c r="AC12" i="8"/>
  <c r="AL12" i="8"/>
  <c r="AC88" i="8"/>
  <c r="AL88" i="8"/>
  <c r="AC90" i="8"/>
  <c r="AL90" i="8"/>
  <c r="AC20" i="8"/>
  <c r="AL20" i="8"/>
  <c r="AC48" i="8"/>
  <c r="AL48" i="8"/>
  <c r="AC31" i="8"/>
  <c r="AL31" i="8"/>
  <c r="AC73" i="8"/>
  <c r="AL73" i="8"/>
  <c r="AC107" i="8"/>
  <c r="AL107" i="8"/>
  <c r="AC45" i="8"/>
  <c r="AL45" i="8"/>
  <c r="AC78" i="8"/>
  <c r="AL78" i="8"/>
  <c r="AC111" i="8"/>
  <c r="AL111" i="8"/>
  <c r="AC35" i="8"/>
  <c r="AL35" i="8"/>
  <c r="AC42" i="8"/>
  <c r="AL42" i="8"/>
  <c r="AC39" i="8"/>
  <c r="AL39" i="8"/>
  <c r="AC81" i="8"/>
  <c r="AL81" i="8"/>
  <c r="AC123" i="8"/>
  <c r="AL123" i="8"/>
  <c r="AC53" i="8"/>
  <c r="AL53" i="8"/>
  <c r="AC82" i="8"/>
  <c r="AL82" i="8"/>
  <c r="AC87" i="8"/>
  <c r="AL87" i="8"/>
  <c r="AC43" i="8"/>
  <c r="AL43" i="8"/>
  <c r="AC115" i="8"/>
  <c r="AL115" i="8"/>
  <c r="AC26" i="8"/>
  <c r="AL26" i="8"/>
  <c r="AC61" i="8"/>
  <c r="AL61" i="8"/>
  <c r="AC86" i="8"/>
  <c r="AL86" i="8"/>
  <c r="AC124" i="8"/>
  <c r="AL124" i="8"/>
  <c r="AC110" i="8"/>
  <c r="AL110" i="8"/>
  <c r="AC106" i="8"/>
  <c r="AL106" i="8"/>
  <c r="AC102" i="8"/>
  <c r="AL102" i="8"/>
  <c r="AC32" i="8"/>
  <c r="AL32" i="8"/>
  <c r="AC8" i="8"/>
  <c r="AL8" i="8"/>
  <c r="AK60" i="10" l="1"/>
  <c r="AL60" i="10" s="1"/>
  <c r="AK50" i="10"/>
  <c r="AL50" i="10" s="1"/>
  <c r="AK97" i="10"/>
  <c r="AL97" i="10" s="1"/>
  <c r="AK16" i="10"/>
  <c r="AL16" i="10" s="1"/>
  <c r="AK23" i="10"/>
  <c r="AL23" i="10" s="1"/>
  <c r="AK119" i="10"/>
  <c r="AL119" i="10" s="1"/>
  <c r="AK57" i="10"/>
  <c r="AL57" i="10" s="1"/>
  <c r="AK108" i="10"/>
  <c r="AL108" i="10" s="1"/>
  <c r="AK10" i="10"/>
  <c r="AL10" i="10" s="1"/>
  <c r="AK18" i="10"/>
  <c r="AL18" i="10" s="1"/>
  <c r="AK71" i="10"/>
  <c r="AL71" i="10" s="1"/>
  <c r="AK51" i="10"/>
  <c r="AL51" i="10" s="1"/>
  <c r="AK117" i="10"/>
  <c r="AL117" i="10" s="1"/>
  <c r="AK21" i="10"/>
  <c r="AL21" i="10" s="1"/>
  <c r="AK98" i="10"/>
  <c r="AL98" i="10" s="1"/>
  <c r="AK56" i="10"/>
  <c r="AL56" i="10" s="1"/>
  <c r="AK59" i="10"/>
  <c r="AL59" i="10" s="1"/>
  <c r="P67" i="10"/>
  <c r="AK67" i="10"/>
  <c r="AL67" i="10" s="1"/>
  <c r="P113" i="10"/>
  <c r="AK113" i="10"/>
  <c r="AL113" i="10" s="1"/>
  <c r="P49" i="10"/>
  <c r="AK49" i="10"/>
  <c r="AL49" i="10" s="1"/>
  <c r="P14" i="10"/>
  <c r="AK14" i="10"/>
  <c r="AL14" i="10" s="1"/>
  <c r="AK19" i="10"/>
  <c r="AL19" i="10" s="1"/>
  <c r="P100" i="10"/>
  <c r="AK100" i="10"/>
  <c r="AL100" i="10" s="1"/>
  <c r="P30" i="10"/>
  <c r="AK30" i="10"/>
  <c r="AL30" i="10" s="1"/>
  <c r="P42" i="10"/>
  <c r="AK42" i="10"/>
  <c r="AL42" i="10" s="1"/>
  <c r="AK125" i="10"/>
  <c r="AL125" i="10" s="1"/>
  <c r="AK63" i="10"/>
  <c r="AL63" i="10" s="1"/>
  <c r="AK104" i="10"/>
  <c r="AL104" i="10" s="1"/>
  <c r="AK64" i="10"/>
  <c r="AL64" i="10" s="1"/>
  <c r="P123" i="10"/>
  <c r="AK123" i="10"/>
  <c r="AL123" i="10" s="1"/>
  <c r="P66" i="10"/>
  <c r="AK66" i="10"/>
  <c r="AL66" i="10" s="1"/>
  <c r="P55" i="10"/>
  <c r="AK55" i="10"/>
  <c r="AL55" i="10" s="1"/>
  <c r="P85" i="10"/>
  <c r="AK85" i="10"/>
  <c r="AL85" i="10" s="1"/>
  <c r="P43" i="10"/>
  <c r="AK43" i="10"/>
  <c r="AL43" i="10" s="1"/>
  <c r="P103" i="10"/>
  <c r="AK103" i="10"/>
  <c r="AL103" i="10" s="1"/>
  <c r="AK40" i="10"/>
  <c r="AL40" i="10" s="1"/>
  <c r="P40" i="10"/>
  <c r="AK29" i="10"/>
  <c r="AL29" i="10" s="1"/>
  <c r="AK90" i="10"/>
  <c r="AL90" i="10" s="1"/>
  <c r="AK45" i="10"/>
  <c r="AL45" i="10" s="1"/>
  <c r="AK94" i="10"/>
  <c r="AL94" i="10" s="1"/>
  <c r="AK79" i="10"/>
  <c r="AL79" i="10" s="1"/>
  <c r="AK128" i="10"/>
  <c r="AK75" i="10"/>
  <c r="AL75" i="10" s="1"/>
  <c r="AK33" i="10"/>
  <c r="AL33" i="10" s="1"/>
  <c r="AK77" i="10"/>
  <c r="AL77" i="10" s="1"/>
  <c r="AK11" i="10"/>
  <c r="AL11" i="10" s="1"/>
  <c r="AK46" i="10"/>
  <c r="AL46" i="10" s="1"/>
  <c r="AK76" i="10"/>
  <c r="AL76" i="10" s="1"/>
  <c r="AK126" i="10"/>
  <c r="AL126" i="10" s="1"/>
  <c r="AK102" i="10"/>
  <c r="AL102" i="10" s="1"/>
  <c r="AK17" i="10"/>
  <c r="AL17" i="10" s="1"/>
  <c r="P28" i="10"/>
  <c r="AK28" i="10"/>
  <c r="AL28" i="10" s="1"/>
  <c r="P35" i="10"/>
  <c r="AK35" i="10"/>
  <c r="AL35" i="10" s="1"/>
  <c r="P83" i="10"/>
  <c r="AK83" i="10"/>
  <c r="AL83" i="10" s="1"/>
  <c r="P34" i="10"/>
  <c r="AK34" i="10"/>
  <c r="AL34" i="10" s="1"/>
  <c r="P111" i="10"/>
  <c r="AK111" i="10"/>
  <c r="AL111" i="10" s="1"/>
  <c r="P87" i="10"/>
  <c r="AK87" i="10"/>
  <c r="AL87" i="10" s="1"/>
  <c r="P9" i="10"/>
  <c r="AK9" i="10"/>
  <c r="AL9" i="10" s="1"/>
  <c r="AK127" i="10"/>
  <c r="AL127" i="10" s="1"/>
  <c r="P127" i="10"/>
  <c r="P114" i="10"/>
  <c r="AK114" i="10"/>
  <c r="AL114" i="10" s="1"/>
  <c r="P31" i="10"/>
  <c r="AK31" i="10"/>
  <c r="AL31" i="10" s="1"/>
  <c r="P121" i="10"/>
  <c r="AK121" i="10"/>
  <c r="AL121" i="10" s="1"/>
  <c r="P118" i="10"/>
  <c r="AK118" i="10"/>
  <c r="AL118" i="10" s="1"/>
  <c r="P61" i="10"/>
  <c r="AK61" i="10"/>
  <c r="AL61" i="10" s="1"/>
  <c r="P36" i="10"/>
  <c r="AK36" i="10"/>
  <c r="AL36" i="10" s="1"/>
  <c r="P53" i="10"/>
  <c r="AK53" i="10"/>
  <c r="AL53" i="10" s="1"/>
  <c r="P24" i="10"/>
  <c r="AK24" i="10"/>
  <c r="AL24" i="10" s="1"/>
  <c r="P39" i="10"/>
  <c r="AK39" i="10"/>
  <c r="AL39" i="10" s="1"/>
  <c r="P95" i="10"/>
  <c r="AK95" i="10"/>
  <c r="AL95" i="10" s="1"/>
  <c r="P22" i="10"/>
  <c r="AK22" i="10"/>
  <c r="AL22" i="10" s="1"/>
  <c r="AK105" i="10"/>
  <c r="AL105" i="10" s="1"/>
  <c r="P105" i="10"/>
  <c r="P68" i="10"/>
  <c r="AK68" i="10"/>
  <c r="AL68" i="10" s="1"/>
  <c r="P74" i="10"/>
  <c r="AK74" i="10"/>
  <c r="AL74" i="10" s="1"/>
  <c r="P122" i="10"/>
  <c r="AK122" i="10"/>
  <c r="AL122" i="10" s="1"/>
  <c r="AK54" i="10"/>
  <c r="AL54" i="10" s="1"/>
  <c r="AK32" i="10"/>
  <c r="AL32" i="10" s="1"/>
  <c r="AK44" i="10"/>
  <c r="AL44" i="10" s="1"/>
  <c r="AK120" i="10"/>
  <c r="AL120" i="10" s="1"/>
  <c r="AK13" i="10"/>
  <c r="AL13" i="10" s="1"/>
  <c r="P81" i="10"/>
  <c r="AK81" i="10"/>
  <c r="AL81" i="10" s="1"/>
  <c r="P72" i="10"/>
  <c r="AK72" i="10"/>
  <c r="AL72" i="10" s="1"/>
  <c r="AK92" i="10"/>
  <c r="AL92" i="10" s="1"/>
  <c r="P92" i="10"/>
  <c r="P58" i="10"/>
  <c r="AK58" i="10"/>
  <c r="AL58" i="10" s="1"/>
  <c r="AK124" i="10"/>
  <c r="AL124" i="10" s="1"/>
  <c r="P124" i="10"/>
  <c r="P65" i="10"/>
  <c r="AK65" i="10"/>
  <c r="AL65" i="10" s="1"/>
  <c r="P107" i="10"/>
  <c r="AK107" i="10"/>
  <c r="AL107" i="10" s="1"/>
  <c r="P116" i="10"/>
  <c r="AK116" i="10"/>
  <c r="AL116" i="10" s="1"/>
  <c r="P99" i="10"/>
  <c r="AK99" i="10"/>
  <c r="AL99" i="10" s="1"/>
  <c r="P106" i="10"/>
  <c r="AK106" i="10"/>
  <c r="AL106" i="10" s="1"/>
  <c r="AK109" i="10"/>
  <c r="AL109" i="10" s="1"/>
  <c r="AK15" i="10"/>
  <c r="AL15" i="10" s="1"/>
  <c r="AK84" i="10"/>
  <c r="AL84" i="10" s="1"/>
  <c r="AK26" i="10"/>
  <c r="AL26" i="10" s="1"/>
  <c r="AK38" i="10"/>
  <c r="AL38" i="10" s="1"/>
  <c r="AK93" i="10"/>
  <c r="AL93" i="10" s="1"/>
  <c r="AK112" i="10"/>
  <c r="AL112" i="10" s="1"/>
  <c r="AK37" i="10"/>
  <c r="AL37" i="10" s="1"/>
  <c r="AK27" i="10"/>
  <c r="AL27" i="10" s="1"/>
  <c r="AK101" i="10"/>
  <c r="AL101" i="10" s="1"/>
  <c r="AK86" i="10"/>
  <c r="AL86" i="10" s="1"/>
  <c r="P96" i="10"/>
  <c r="AK96" i="10"/>
  <c r="AL96" i="10" s="1"/>
  <c r="P12" i="10"/>
  <c r="AK12" i="10"/>
  <c r="AL12" i="10" s="1"/>
  <c r="P73" i="10"/>
  <c r="AK73" i="10"/>
  <c r="AL73" i="10" s="1"/>
  <c r="P70" i="10"/>
  <c r="AK70" i="10"/>
  <c r="AL70" i="10" s="1"/>
  <c r="AK47" i="10"/>
  <c r="AL47" i="10" s="1"/>
  <c r="P47" i="10"/>
  <c r="R62" i="10"/>
  <c r="AK62" i="10"/>
  <c r="AL62" i="10" s="1"/>
  <c r="R25" i="10"/>
  <c r="AK25" i="10"/>
  <c r="AL25" i="10" s="1"/>
  <c r="P82" i="10"/>
  <c r="AK82" i="10"/>
  <c r="AL82" i="10" s="1"/>
  <c r="P41" i="10"/>
  <c r="AK41" i="10"/>
  <c r="AL41" i="10" s="1"/>
  <c r="AK78" i="10"/>
  <c r="AL78" i="10" s="1"/>
  <c r="P78" i="10"/>
  <c r="R52" i="10"/>
  <c r="AK52" i="10"/>
  <c r="AL52" i="10" s="1"/>
  <c r="P69" i="10"/>
  <c r="AK69" i="10"/>
  <c r="AL69" i="10" s="1"/>
  <c r="P110" i="10"/>
  <c r="AK110" i="10"/>
  <c r="AL110" i="10" s="1"/>
  <c r="P91" i="10"/>
  <c r="AK91" i="10"/>
  <c r="AL91" i="10" s="1"/>
  <c r="P89" i="10"/>
  <c r="AK89" i="10"/>
  <c r="AL89" i="10" s="1"/>
  <c r="AK8" i="10"/>
  <c r="AL8" i="10" s="1"/>
  <c r="P8" i="10"/>
  <c r="P88" i="10"/>
  <c r="AK88" i="10"/>
  <c r="AL88" i="10" s="1"/>
  <c r="P115" i="10"/>
  <c r="AK115" i="10"/>
  <c r="AL115" i="10" s="1"/>
  <c r="P20" i="10"/>
  <c r="AK20" i="10"/>
  <c r="AL20" i="10" s="1"/>
  <c r="P48" i="10"/>
  <c r="AK48" i="10"/>
  <c r="AL48" i="10" s="1"/>
  <c r="P80" i="10"/>
  <c r="AK80" i="10"/>
  <c r="AL80" i="10" s="1"/>
  <c r="AM51" i="8"/>
  <c r="AM54" i="8" s="1"/>
  <c r="AM51" i="10" l="1"/>
  <c r="AM52" i="10" s="1"/>
  <c r="AM53" i="10" s="1"/>
  <c r="AM52" i="8"/>
  <c r="AM53" i="8" s="1"/>
  <c r="AM54" i="10" l="1"/>
</calcChain>
</file>

<file path=xl/sharedStrings.xml><?xml version="1.0" encoding="utf-8"?>
<sst xmlns="http://schemas.openxmlformats.org/spreadsheetml/2006/main" count="580" uniqueCount="193">
  <si>
    <t>Peregrine Semiconductor CONFIDENTIAL</t>
  </si>
  <si>
    <t>revision</t>
  </si>
  <si>
    <t>person</t>
  </si>
  <si>
    <t>description</t>
  </si>
  <si>
    <t>initital version</t>
  </si>
  <si>
    <t>case</t>
  </si>
  <si>
    <t>Fref</t>
  </si>
  <si>
    <t>Icp</t>
  </si>
  <si>
    <t>Ilk</t>
  </si>
  <si>
    <t>VCC</t>
  </si>
  <si>
    <t>Fvco_min</t>
  </si>
  <si>
    <t>Fvco_max</t>
  </si>
  <si>
    <t>Hz</t>
  </si>
  <si>
    <t>A</t>
  </si>
  <si>
    <t>V</t>
  </si>
  <si>
    <t>ohm</t>
  </si>
  <si>
    <t>F</t>
  </si>
  <si>
    <t>X</t>
  </si>
  <si>
    <t>wp1</t>
  </si>
  <si>
    <t>wp2</t>
  </si>
  <si>
    <t>wz</t>
  </si>
  <si>
    <t>wo</t>
  </si>
  <si>
    <t>R17 (Rlk)</t>
  </si>
  <si>
    <t>VCO Kv</t>
  </si>
  <si>
    <t>Hz/V</t>
  </si>
  <si>
    <t>rad/s</t>
  </si>
  <si>
    <t>Fvco_avg</t>
  </si>
  <si>
    <t>deg</t>
  </si>
  <si>
    <t>Y</t>
  </si>
  <si>
    <t>n_wp</t>
  </si>
  <si>
    <t>N_avg</t>
  </si>
  <si>
    <t>K</t>
  </si>
  <si>
    <t>Ct</t>
  </si>
  <si>
    <t>28MHz/V,
50MHz,
100kHz</t>
  </si>
  <si>
    <t>S. Humphreys, InPhase Design, Inc.</t>
  </si>
  <si>
    <t>Phase Margin</t>
  </si>
  <si>
    <t>Bandwidth</t>
  </si>
  <si>
    <t>70MHz/V, 50MHz, 
50kHz</t>
  </si>
  <si>
    <t>Manufacturer</t>
  </si>
  <si>
    <t>Mfg. Part No.</t>
  </si>
  <si>
    <t>Kv</t>
  </si>
  <si>
    <t>foffset</t>
  </si>
  <si>
    <t>L(foffset)</t>
  </si>
  <si>
    <t>CRO3035A-LF</t>
  </si>
  <si>
    <t>VCO data</t>
  </si>
  <si>
    <t>Zcomm</t>
  </si>
  <si>
    <t>dBc/Hz</t>
  </si>
  <si>
    <t>70MHz/V, 50MHz, 500kHz</t>
  </si>
  <si>
    <t>4th order, Type II loop; 3rd order filter:</t>
  </si>
  <si>
    <t>5th order, Type II loop; 4th order filter:</t>
  </si>
  <si>
    <t>V846ME30-LF</t>
  </si>
  <si>
    <t>70MHz/V</t>
  </si>
  <si>
    <t>Y2</t>
  </si>
  <si>
    <t>Q</t>
  </si>
  <si>
    <t>Standard Capacaitor Values (10%)</t>
  </si>
  <si>
    <t>Standard Resistor Values (5%)</t>
  </si>
  <si>
    <t>plotting</t>
  </si>
  <si>
    <t>fmin</t>
  </si>
  <si>
    <t>fmax</t>
  </si>
  <si>
    <t>f Hz</t>
  </si>
  <si>
    <t>N</t>
  </si>
  <si>
    <t>phase margin deg</t>
  </si>
  <si>
    <t>ol mag dB</t>
  </si>
  <si>
    <t>added 5th order PLL, closest RC values and plotting</t>
  </si>
  <si>
    <t>enter which case to plot:</t>
  </si>
  <si>
    <t>V580ME13-LF</t>
  </si>
  <si>
    <t>V940ME19-LF</t>
  </si>
  <si>
    <t>36MHz/V</t>
  </si>
  <si>
    <t>V500ME01-LF</t>
  </si>
  <si>
    <t>46MHz/V</t>
  </si>
  <si>
    <t>28 MHz/V</t>
  </si>
  <si>
    <t>Crystek</t>
  </si>
  <si>
    <t>22MHz/V</t>
  </si>
  <si>
    <t>VCO_Cin</t>
  </si>
  <si>
    <t>28MHz/V,
50MHz, 
150kHz</t>
  </si>
  <si>
    <t>70MHz/V,
50MHz, 
200kHz</t>
  </si>
  <si>
    <t>70MHz/V,
50MHz, 
500kHz</t>
  </si>
  <si>
    <t>51MHz/V,
50MHz, 
200kHz</t>
  </si>
  <si>
    <t>36MHz/V,
33MHz, 
500kHz</t>
  </si>
  <si>
    <t>46MHz/V,
33MHz, 
500kHz</t>
  </si>
  <si>
    <t>22MHz/V,
50MHz, 
200kHz</t>
  </si>
  <si>
    <t>CVCO55CC-
3901-4101</t>
  </si>
  <si>
    <t>22MHz/V,
50MHz, 
300kHz</t>
  </si>
  <si>
    <t>VCO Cin</t>
  </si>
  <si>
    <t>PE97640 EVK loop filter schematic</t>
  </si>
  <si>
    <t>Parameter</t>
  </si>
  <si>
    <t>Case</t>
  </si>
  <si>
    <t>Description / 
Units</t>
  </si>
  <si>
    <t>RC values</t>
  </si>
  <si>
    <t>PE97640 Fractional-N                              PD PLL Loop Filter Calculator and Phase Noise Estimator</t>
  </si>
  <si>
    <t>Closed loop gain</t>
  </si>
  <si>
    <t>100 MHz Wenzel OCXO Ref Noise</t>
  </si>
  <si>
    <t>Foffset (kHz)</t>
  </si>
  <si>
    <t>Total Integrated Phase Noise</t>
  </si>
  <si>
    <t>Actual values used:</t>
  </si>
  <si>
    <t>Total integrated phase noise</t>
  </si>
  <si>
    <t>radian</t>
  </si>
  <si>
    <t>degree</t>
  </si>
  <si>
    <t>jitter(ps)</t>
  </si>
  <si>
    <t>dB</t>
  </si>
  <si>
    <t>s</t>
  </si>
  <si>
    <t>|H(s)|LPF</t>
  </si>
  <si>
    <t>Ref Noise</t>
  </si>
  <si>
    <t>1/f + PD</t>
  </si>
  <si>
    <t>rleak</t>
  </si>
  <si>
    <t>gpdf_tf</t>
  </si>
  <si>
    <t>Charge Pump
rcp</t>
  </si>
  <si>
    <t>lpf</t>
  </si>
  <si>
    <t>glpf_tf</t>
  </si>
  <si>
    <t>gvco_tf</t>
  </si>
  <si>
    <t>Op Amp</t>
  </si>
  <si>
    <t>VCO</t>
  </si>
  <si>
    <t>DSM</t>
  </si>
  <si>
    <t>VCO Part No.</t>
  </si>
  <si>
    <t>PE97640</t>
  </si>
  <si>
    <t>Device Part Number</t>
  </si>
  <si>
    <t>VCO Part Number</t>
  </si>
  <si>
    <t>Rcp</t>
  </si>
  <si>
    <t>%</t>
  </si>
  <si>
    <t>m (DSM order)</t>
  </si>
  <si>
    <t>trst (PDF rst delay)</t>
  </si>
  <si>
    <t>duty cycle (CP)</t>
  </si>
  <si>
    <t>kT4</t>
  </si>
  <si>
    <t>Rvref</t>
  </si>
  <si>
    <t>OA_en</t>
  </si>
  <si>
    <t>OA_in</t>
  </si>
  <si>
    <t>A/rtHz</t>
  </si>
  <si>
    <t>1/f + PD (dB)</t>
  </si>
  <si>
    <t>Op Amp
n_oa_en_v</t>
  </si>
  <si>
    <t>Op Amp
Rs</t>
  </si>
  <si>
    <t>Op Amp
Zf</t>
  </si>
  <si>
    <t>Op Amp
n_oa_inn_v</t>
  </si>
  <si>
    <t>Op Amp
n_oa_inn_p</t>
  </si>
  <si>
    <t>Op Amp
(dB)</t>
  </si>
  <si>
    <t>lpf
(dB)</t>
  </si>
  <si>
    <t>rleak
(dB)</t>
  </si>
  <si>
    <t>Charge Pump
rcp (dB)</t>
  </si>
  <si>
    <t>VCO
(dB)</t>
  </si>
  <si>
    <t>DSM
(dB)</t>
  </si>
  <si>
    <t>Total Noise
(dB)</t>
  </si>
  <si>
    <t>Loop Transfer Functions</t>
  </si>
  <si>
    <t>gol_tf</t>
  </si>
  <si>
    <t>gcl_tf</t>
  </si>
  <si>
    <t>Ref Noise
(dB)</t>
  </si>
  <si>
    <t>1/f Noise
(dB)</t>
  </si>
  <si>
    <t>PD Noise
(dB)</t>
  </si>
  <si>
    <t>Closed Loop Bandwidth</t>
  </si>
  <si>
    <t>Rfop</t>
  </si>
  <si>
    <t>25-Sept_15</t>
  </si>
  <si>
    <t>G. Horvath</t>
  </si>
  <si>
    <t>Added Phase Noise Plots</t>
  </si>
  <si>
    <r>
      <t xml:space="preserve">To create a new application, change the </t>
    </r>
    <r>
      <rPr>
        <b/>
        <sz val="11"/>
        <color rgb="FF0000FF"/>
        <rFont val="Calibri"/>
        <family val="2"/>
        <scheme val="minor"/>
      </rPr>
      <t>blue</t>
    </r>
    <r>
      <rPr>
        <b/>
        <sz val="11"/>
        <rFont val="Calibri"/>
        <family val="2"/>
        <scheme val="minor"/>
      </rPr>
      <t xml:space="preserve"> values to your desired input values.</t>
    </r>
  </si>
  <si>
    <r>
      <t xml:space="preserve">4th order can be used for programming to int-N step only. To create a new application, change the </t>
    </r>
    <r>
      <rPr>
        <b/>
        <sz val="11"/>
        <color rgb="FF0000FF"/>
        <rFont val="Calibri"/>
        <family val="2"/>
        <scheme val="minor"/>
      </rPr>
      <t>blue</t>
    </r>
    <r>
      <rPr>
        <b/>
        <sz val="11"/>
        <color theme="1"/>
        <rFont val="Calibri"/>
        <family val="2"/>
        <scheme val="minor"/>
      </rPr>
      <t xml:space="preserve"> values to your desired input values.</t>
    </r>
  </si>
  <si>
    <t>Closed Loop BW</t>
  </si>
  <si>
    <t>kHz</t>
  </si>
  <si>
    <t>Degrees</t>
  </si>
  <si>
    <t>Second</t>
  </si>
  <si>
    <t>Units</t>
  </si>
  <si>
    <t>Value</t>
  </si>
  <si>
    <t>MASH 1-1</t>
  </si>
  <si>
    <t>MASH 1-1-1</t>
  </si>
  <si>
    <t>m</t>
  </si>
  <si>
    <t>MASH2SEL</t>
  </si>
  <si>
    <t>MASH</t>
  </si>
  <si>
    <t>modulus</t>
  </si>
  <si>
    <t>5|6</t>
  </si>
  <si>
    <t>10|11</t>
  </si>
  <si>
    <t>FOM</t>
  </si>
  <si>
    <r>
      <t>dBc/Hz</t>
    </r>
    <r>
      <rPr>
        <vertAlign val="superscript"/>
        <sz val="11"/>
        <color theme="1"/>
        <rFont val="Calibri"/>
        <family val="2"/>
        <scheme val="minor"/>
      </rPr>
      <t>2</t>
    </r>
  </si>
  <si>
    <t xml:space="preserve">         </t>
  </si>
  <si>
    <t xml:space="preserve">         the information calculated from 5th Order Loop Filter sheet.  The closed loop gain results are shown in the plot to the right.  </t>
  </si>
  <si>
    <r>
      <t xml:space="preserve">Note:  </t>
    </r>
    <r>
      <rPr>
        <sz val="12"/>
        <color indexed="10"/>
        <rFont val="Arial"/>
        <family val="2"/>
      </rPr>
      <t xml:space="preserve">User inputs only required for </t>
    </r>
    <r>
      <rPr>
        <b/>
        <sz val="12"/>
        <rFont val="Arial"/>
        <family val="2"/>
      </rPr>
      <t>OXCO Ref Noise.</t>
    </r>
    <r>
      <rPr>
        <sz val="12"/>
        <rFont val="Arial"/>
        <family val="2"/>
      </rPr>
      <t xml:space="preserve"> The information contained in the </t>
    </r>
    <r>
      <rPr>
        <sz val="12"/>
        <color rgb="FF00B050"/>
        <rFont val="Arial"/>
        <family val="2"/>
      </rPr>
      <t>green</t>
    </r>
    <r>
      <rPr>
        <sz val="12"/>
        <rFont val="Arial"/>
        <family val="2"/>
      </rPr>
      <t xml:space="preserve"> cells is automatically updated based on</t>
    </r>
  </si>
  <si>
    <t xml:space="preserve">         the information calculated from 4th Order Loop Filter sheet.  The closed loop gain results are shown in the plot to the right.  </t>
  </si>
  <si>
    <r>
      <t>dBc/Hz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/>
    </r>
  </si>
  <si>
    <t>FOM_pd</t>
  </si>
  <si>
    <t>FOM_floor</t>
  </si>
  <si>
    <t>MHz</t>
  </si>
  <si>
    <t>INT-N</t>
  </si>
  <si>
    <t>FOM_BW</t>
  </si>
  <si>
    <t>The phase noise estimates shown are typical and not exact.  Actual phase noise may vary.</t>
  </si>
  <si>
    <t>PE97640 Loop Filter Calculator</t>
  </si>
  <si>
    <t>Reference Designators represent those used on the Evaluation Kit Schematic</t>
  </si>
  <si>
    <t>CVCO55-
603199</t>
  </si>
  <si>
    <t>V/rtHz</t>
  </si>
  <si>
    <t>C31</t>
  </si>
  <si>
    <t>R22</t>
  </si>
  <si>
    <t>C18</t>
  </si>
  <si>
    <t>C25</t>
  </si>
  <si>
    <t>R19</t>
  </si>
  <si>
    <t>C38</t>
  </si>
  <si>
    <t>R21</t>
  </si>
  <si>
    <t>C24</t>
  </si>
  <si>
    <t xml:space="preserve">R19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</si>
</sst>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0"/>
    <numFmt numFmtId="165" formatCode="[&lt;0.01]##0.0E+0;[&lt;1000]\ #0.0;##0.0E+0"/>
    <numFmt numFmtId="166" formatCode="[&lt;0.01]##0.00E+0;[&lt;1000]\ #0.00;##0.00E+0"/>
    <numFmt numFmtId="167" formatCode="0.000E+00"/>
    <numFmt numFmtId="168" formatCode="0.000"/>
    <numFmt numFmtId="169" formatCode="0.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0"/>
      <name val="Arial"/>
      <family val="2"/>
    </font>
    <font>
      <sz val="12"/>
      <name val="Arial"/>
      <family val="2"/>
    </font>
    <font>
      <b/>
      <sz val="12"/>
      <color indexed="18"/>
      <name val="Arial"/>
      <family val="2"/>
    </font>
    <font>
      <sz val="12"/>
      <color rgb="FFC00000"/>
      <name val="Arial"/>
      <family val="2"/>
    </font>
    <font>
      <b/>
      <sz val="12"/>
      <color rgb="FFC0000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color indexed="10"/>
      <name val="Arial"/>
      <family val="2"/>
    </font>
    <font>
      <sz val="10"/>
      <color indexed="8"/>
      <name val="Arial"/>
      <family val="2"/>
    </font>
    <font>
      <sz val="11"/>
      <color rgb="FF00B050"/>
      <name val="Calibri"/>
      <family val="2"/>
      <scheme val="minor"/>
    </font>
    <font>
      <sz val="12"/>
      <color rgb="FF00B050"/>
      <name val="Arial"/>
      <family val="2"/>
    </font>
    <font>
      <b/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1" fillId="0" borderId="0" xfId="0" applyFont="1"/>
    <xf numFmtId="15" fontId="0" fillId="0" borderId="0" xfId="0" applyNumberFormat="1"/>
    <xf numFmtId="0" fontId="1" fillId="2" borderId="0" xfId="0" applyFont="1" applyFill="1"/>
    <xf numFmtId="0" fontId="0" fillId="0" borderId="0" xfId="0" applyAlignment="1">
      <alignment horizontal="center"/>
    </xf>
    <xf numFmtId="11" fontId="0" fillId="0" borderId="0" xfId="0" applyNumberFormat="1"/>
    <xf numFmtId="2" fontId="0" fillId="0" borderId="0" xfId="0" applyNumberFormat="1"/>
    <xf numFmtId="0" fontId="0" fillId="0" borderId="0" xfId="0" applyAlignment="1"/>
    <xf numFmtId="164" fontId="0" fillId="0" borderId="0" xfId="0" applyNumberFormat="1"/>
    <xf numFmtId="11" fontId="1" fillId="0" borderId="0" xfId="0" applyNumberFormat="1" applyFont="1"/>
    <xf numFmtId="0" fontId="0" fillId="0" borderId="1" xfId="0" applyBorder="1" applyAlignment="1"/>
    <xf numFmtId="0" fontId="1" fillId="0" borderId="0" xfId="0" applyFont="1" applyAlignment="1"/>
    <xf numFmtId="165" fontId="1" fillId="0" borderId="0" xfId="0" applyNumberFormat="1" applyFont="1"/>
    <xf numFmtId="0" fontId="1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ont="1" applyAlignment="1"/>
    <xf numFmtId="11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167" fontId="0" fillId="0" borderId="0" xfId="0" applyNumberFormat="1"/>
    <xf numFmtId="0" fontId="0" fillId="0" borderId="0" xfId="0" applyAlignment="1">
      <alignment horizontal="center" wrapText="1"/>
    </xf>
    <xf numFmtId="0" fontId="4" fillId="0" borderId="0" xfId="0" applyFont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3" xfId="0" applyFont="1" applyBorder="1" applyAlignment="1"/>
    <xf numFmtId="0" fontId="0" fillId="0" borderId="4" xfId="0" applyBorder="1" applyAlignment="1">
      <alignment horizontal="center"/>
    </xf>
    <xf numFmtId="165" fontId="2" fillId="0" borderId="4" xfId="0" applyNumberFormat="1" applyFont="1" applyBorder="1"/>
    <xf numFmtId="0" fontId="0" fillId="0" borderId="5" xfId="0" applyFont="1" applyBorder="1" applyAlignment="1"/>
    <xf numFmtId="165" fontId="3" fillId="0" borderId="0" xfId="0" applyNumberFormat="1" applyFont="1" applyBorder="1"/>
    <xf numFmtId="165" fontId="2" fillId="0" borderId="0" xfId="0" applyNumberFormat="1" applyFont="1" applyBorder="1"/>
    <xf numFmtId="166" fontId="2" fillId="0" borderId="0" xfId="0" applyNumberFormat="1" applyFont="1" applyBorder="1"/>
    <xf numFmtId="0" fontId="0" fillId="0" borderId="7" xfId="0" applyBorder="1" applyAlignment="1">
      <alignment horizontal="center"/>
    </xf>
    <xf numFmtId="0" fontId="0" fillId="0" borderId="5" xfId="0" applyBorder="1" applyAlignment="1"/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 applyAlignment="1">
      <alignment horizontal="center" wrapText="1"/>
    </xf>
    <xf numFmtId="0" fontId="6" fillId="0" borderId="0" xfId="0" applyFont="1" applyFill="1" applyBorder="1"/>
    <xf numFmtId="0" fontId="6" fillId="0" borderId="0" xfId="0" applyFont="1" applyBorder="1"/>
    <xf numFmtId="0" fontId="7" fillId="0" borderId="0" xfId="0" applyFont="1"/>
    <xf numFmtId="0" fontId="8" fillId="0" borderId="0" xfId="0" applyFont="1"/>
    <xf numFmtId="0" fontId="0" fillId="0" borderId="0" xfId="0" applyAlignment="1">
      <alignment horizontal="center"/>
    </xf>
    <xf numFmtId="0" fontId="12" fillId="0" borderId="0" xfId="0" quotePrefix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6" fillId="0" borderId="0" xfId="0" applyFont="1"/>
    <xf numFmtId="11" fontId="0" fillId="0" borderId="0" xfId="0" applyNumberFormat="1" applyFill="1"/>
    <xf numFmtId="0" fontId="12" fillId="0" borderId="0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0" quotePrefix="1" applyFont="1" applyAlignment="1"/>
    <xf numFmtId="0" fontId="7" fillId="0" borderId="0" xfId="0" applyFont="1" applyAlignment="1"/>
    <xf numFmtId="0" fontId="0" fillId="4" borderId="0" xfId="0" applyFill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6" fillId="0" borderId="17" xfId="0" applyFont="1" applyFill="1" applyBorder="1" applyAlignment="1">
      <alignment horizontal="center"/>
    </xf>
    <xf numFmtId="0" fontId="0" fillId="4" borderId="0" xfId="0" applyFill="1" applyBorder="1" applyAlignment="1">
      <alignment horizontal="center" wrapText="1"/>
    </xf>
    <xf numFmtId="0" fontId="0" fillId="4" borderId="18" xfId="0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167" fontId="0" fillId="4" borderId="22" xfId="0" applyNumberFormat="1" applyFill="1" applyBorder="1"/>
    <xf numFmtId="2" fontId="0" fillId="4" borderId="22" xfId="0" applyNumberFormat="1" applyFill="1" applyBorder="1"/>
    <xf numFmtId="0" fontId="0" fillId="4" borderId="2" xfId="0" applyFill="1" applyBorder="1" applyAlignment="1">
      <alignment horizontal="center"/>
    </xf>
    <xf numFmtId="4" fontId="14" fillId="4" borderId="0" xfId="0" applyNumberFormat="1" applyFont="1" applyFill="1" applyBorder="1" applyAlignment="1">
      <alignment horizontal="center"/>
    </xf>
    <xf numFmtId="2" fontId="12" fillId="4" borderId="0" xfId="0" applyNumberFormat="1" applyFont="1" applyFill="1" applyBorder="1" applyAlignment="1">
      <alignment horizontal="center"/>
    </xf>
    <xf numFmtId="169" fontId="12" fillId="4" borderId="0" xfId="0" applyNumberFormat="1" applyFont="1" applyFill="1" applyBorder="1" applyAlignment="1">
      <alignment horizontal="center"/>
    </xf>
    <xf numFmtId="0" fontId="0" fillId="4" borderId="2" xfId="0" applyFill="1" applyBorder="1"/>
    <xf numFmtId="0" fontId="6" fillId="0" borderId="0" xfId="0" applyFont="1" applyAlignment="1">
      <alignment horizontal="right"/>
    </xf>
    <xf numFmtId="2" fontId="12" fillId="5" borderId="0" xfId="0" applyNumberFormat="1" applyFont="1" applyFill="1"/>
    <xf numFmtId="168" fontId="0" fillId="0" borderId="0" xfId="0" applyNumberFormat="1"/>
    <xf numFmtId="0" fontId="0" fillId="0" borderId="0" xfId="0" applyAlignment="1">
      <alignment horizontal="center"/>
    </xf>
    <xf numFmtId="0" fontId="0" fillId="4" borderId="13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4" borderId="19" xfId="0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4" borderId="19" xfId="0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0" fillId="4" borderId="13" xfId="0" applyFill="1" applyBorder="1" applyAlignment="1">
      <alignment horizontal="left" vertical="center"/>
    </xf>
    <xf numFmtId="0" fontId="0" fillId="4" borderId="22" xfId="0" applyFill="1" applyBorder="1" applyAlignment="1">
      <alignment horizontal="left"/>
    </xf>
    <xf numFmtId="0" fontId="0" fillId="4" borderId="12" xfId="0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 vertical="center" wrapText="1"/>
    </xf>
    <xf numFmtId="0" fontId="0" fillId="4" borderId="19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/>
    </xf>
    <xf numFmtId="167" fontId="0" fillId="4" borderId="22" xfId="0" applyNumberFormat="1" applyFill="1" applyBorder="1" applyAlignment="1">
      <alignment horizontal="left"/>
    </xf>
    <xf numFmtId="0" fontId="0" fillId="4" borderId="22" xfId="0" applyNumberFormat="1" applyFill="1" applyBorder="1"/>
    <xf numFmtId="0" fontId="15" fillId="0" borderId="2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 vertical="center" wrapText="1"/>
    </xf>
    <xf numFmtId="0" fontId="0" fillId="0" borderId="0" xfId="0" applyFont="1"/>
    <xf numFmtId="0" fontId="1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6" xfId="0" applyFont="1" applyFill="1" applyBorder="1" applyAlignment="1"/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165" fontId="2" fillId="0" borderId="0" xfId="0" applyNumberFormat="1" applyFont="1" applyBorder="1" applyAlignment="1">
      <alignment horizontal="right"/>
    </xf>
    <xf numFmtId="165" fontId="2" fillId="0" borderId="7" xfId="0" applyNumberFormat="1" applyFont="1" applyBorder="1" applyAlignment="1">
      <alignment horizontal="right"/>
    </xf>
    <xf numFmtId="0" fontId="0" fillId="4" borderId="2" xfId="0" applyFont="1" applyFill="1" applyBorder="1" applyAlignment="1">
      <alignment horizontal="center"/>
    </xf>
    <xf numFmtId="11" fontId="0" fillId="4" borderId="2" xfId="0" applyNumberFormat="1" applyFont="1" applyFill="1" applyBorder="1" applyAlignment="1">
      <alignment horizontal="center"/>
    </xf>
    <xf numFmtId="0" fontId="0" fillId="4" borderId="0" xfId="0" applyFont="1" applyFill="1" applyBorder="1" applyAlignment="1">
      <alignment horizontal="center"/>
    </xf>
    <xf numFmtId="167" fontId="0" fillId="4" borderId="0" xfId="0" applyNumberFormat="1" applyFont="1" applyFill="1" applyBorder="1" applyAlignment="1">
      <alignment horizontal="center"/>
    </xf>
    <xf numFmtId="4" fontId="15" fillId="0" borderId="2" xfId="0" applyNumberFormat="1" applyFont="1" applyFill="1" applyBorder="1" applyAlignment="1">
      <alignment horizontal="center"/>
    </xf>
    <xf numFmtId="2" fontId="15" fillId="0" borderId="2" xfId="0" applyNumberFormat="1" applyFont="1" applyFill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1" fontId="0" fillId="0" borderId="0" xfId="0" applyNumberFormat="1" applyFont="1" applyAlignment="1">
      <alignment horizontal="right"/>
    </xf>
    <xf numFmtId="0" fontId="5" fillId="0" borderId="26" xfId="0" applyFont="1" applyBorder="1" applyAlignment="1">
      <alignment horizontal="center"/>
    </xf>
    <xf numFmtId="165" fontId="0" fillId="0" borderId="0" xfId="0" applyNumberFormat="1" applyFont="1" applyBorder="1"/>
    <xf numFmtId="168" fontId="0" fillId="4" borderId="2" xfId="0" applyNumberFormat="1" applyFont="1" applyFill="1" applyBorder="1" applyAlignment="1">
      <alignment horizontal="center"/>
    </xf>
    <xf numFmtId="2" fontId="0" fillId="6" borderId="22" xfId="0" applyNumberFormat="1" applyFill="1" applyBorder="1" applyProtection="1">
      <protection locked="0"/>
    </xf>
    <xf numFmtId="11" fontId="0" fillId="4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4" borderId="23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6" borderId="11" xfId="0" applyFill="1" applyBorder="1" applyAlignment="1" applyProtection="1">
      <alignment horizontal="center" vertical="center" wrapText="1"/>
      <protection locked="0"/>
    </xf>
    <xf numFmtId="0" fontId="0" fillId="6" borderId="19" xfId="0" applyFill="1" applyBorder="1" applyAlignment="1" applyProtection="1">
      <alignment horizontal="center" vertical="center" wrapText="1"/>
      <protection locked="0"/>
    </xf>
    <xf numFmtId="0" fontId="0" fillId="4" borderId="5" xfId="0" applyFill="1" applyBorder="1" applyAlignment="1">
      <alignment horizontal="center" wrapText="1"/>
    </xf>
    <xf numFmtId="0" fontId="17" fillId="0" borderId="1" xfId="0" applyFont="1" applyFill="1" applyBorder="1" applyAlignment="1"/>
    <xf numFmtId="0" fontId="0" fillId="0" borderId="0" xfId="0" applyProtection="1">
      <protection locked="0"/>
    </xf>
    <xf numFmtId="11" fontId="0" fillId="0" borderId="0" xfId="0" applyNumberFormat="1" applyFill="1" applyProtection="1">
      <protection locked="0"/>
    </xf>
    <xf numFmtId="2" fontId="0" fillId="0" borderId="0" xfId="0" applyNumberFormat="1" applyProtection="1">
      <protection locked="0"/>
    </xf>
    <xf numFmtId="0" fontId="0" fillId="4" borderId="12" xfId="0" applyFill="1" applyBorder="1" applyAlignment="1" applyProtection="1">
      <alignment horizontal="center" vertical="center" wrapText="1"/>
      <protection locked="0"/>
    </xf>
    <xf numFmtId="0" fontId="1" fillId="4" borderId="19" xfId="0" applyFont="1" applyFill="1" applyBorder="1" applyAlignment="1" applyProtection="1">
      <alignment horizontal="center" vertical="center" wrapText="1"/>
      <protection locked="0"/>
    </xf>
    <xf numFmtId="2" fontId="0" fillId="4" borderId="22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Open Loop Gain and Phase Margin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'4thOrderLoop'!$C$87</c:f>
              <c:strCache>
                <c:ptCount val="1"/>
                <c:pt idx="0">
                  <c:v>ol mag dB</c:v>
                </c:pt>
              </c:strCache>
            </c:strRef>
          </c:tx>
          <c:marker>
            <c:symbol val="none"/>
          </c:marker>
          <c:xVal>
            <c:numRef>
              <c:f>'4thOrderLoop'!$B$88:$B$188</c:f>
              <c:numCache>
                <c:formatCode>0.00E+00</c:formatCode>
                <c:ptCount val="101"/>
                <c:pt idx="0">
                  <c:v>1000</c:v>
                </c:pt>
                <c:pt idx="1">
                  <c:v>1122.0184543019636</c:v>
                </c:pt>
                <c:pt idx="2">
                  <c:v>1258.9254117941673</c:v>
                </c:pt>
                <c:pt idx="3">
                  <c:v>1412.5375446227545</c:v>
                </c:pt>
                <c:pt idx="4">
                  <c:v>1584.8931924611136</c:v>
                </c:pt>
                <c:pt idx="5">
                  <c:v>1778.2794100389231</c:v>
                </c:pt>
                <c:pt idx="6">
                  <c:v>1995.2623149688798</c:v>
                </c:pt>
                <c:pt idx="7">
                  <c:v>2238.7211385683399</c:v>
                </c:pt>
                <c:pt idx="8">
                  <c:v>2511.8864315095807</c:v>
                </c:pt>
                <c:pt idx="9">
                  <c:v>2818.3829312644539</c:v>
                </c:pt>
                <c:pt idx="10">
                  <c:v>3162.2776601683795</c:v>
                </c:pt>
                <c:pt idx="11">
                  <c:v>3548.1338923357553</c:v>
                </c:pt>
                <c:pt idx="12">
                  <c:v>3981.0717055349728</c:v>
                </c:pt>
                <c:pt idx="13">
                  <c:v>4466.8359215096316</c:v>
                </c:pt>
                <c:pt idx="14">
                  <c:v>5011.8723362727242</c:v>
                </c:pt>
                <c:pt idx="15">
                  <c:v>5623.413251903492</c:v>
                </c:pt>
                <c:pt idx="16">
                  <c:v>6309.5734448019339</c:v>
                </c:pt>
                <c:pt idx="17">
                  <c:v>7079.457843841381</c:v>
                </c:pt>
                <c:pt idx="18">
                  <c:v>7943.2823472428136</c:v>
                </c:pt>
                <c:pt idx="19">
                  <c:v>8912.5093813374569</c:v>
                </c:pt>
                <c:pt idx="20">
                  <c:v>10000</c:v>
                </c:pt>
                <c:pt idx="21">
                  <c:v>11220.184543019635</c:v>
                </c:pt>
                <c:pt idx="22">
                  <c:v>12589.25411794168</c:v>
                </c:pt>
                <c:pt idx="23">
                  <c:v>14125.37544622755</c:v>
                </c:pt>
                <c:pt idx="24">
                  <c:v>15848.931924611137</c:v>
                </c:pt>
                <c:pt idx="25">
                  <c:v>17782.794100389234</c:v>
                </c:pt>
                <c:pt idx="26">
                  <c:v>19952.623149688803</c:v>
                </c:pt>
                <c:pt idx="27">
                  <c:v>22387.211385683404</c:v>
                </c:pt>
                <c:pt idx="28">
                  <c:v>25118.864315095809</c:v>
                </c:pt>
                <c:pt idx="29">
                  <c:v>28183.82931264455</c:v>
                </c:pt>
                <c:pt idx="30">
                  <c:v>31622.776601683803</c:v>
                </c:pt>
                <c:pt idx="31">
                  <c:v>35481.338923357558</c:v>
                </c:pt>
                <c:pt idx="32">
                  <c:v>39810.717055349756</c:v>
                </c:pt>
                <c:pt idx="33">
                  <c:v>44668.359215096345</c:v>
                </c:pt>
                <c:pt idx="34">
                  <c:v>50118.723362727258</c:v>
                </c:pt>
                <c:pt idx="35">
                  <c:v>56234.132519034916</c:v>
                </c:pt>
                <c:pt idx="36">
                  <c:v>63095.734448019306</c:v>
                </c:pt>
                <c:pt idx="37">
                  <c:v>70794.578438413868</c:v>
                </c:pt>
                <c:pt idx="38">
                  <c:v>79432.823472428194</c:v>
                </c:pt>
                <c:pt idx="39">
                  <c:v>89125.093813374639</c:v>
                </c:pt>
                <c:pt idx="40">
                  <c:v>100000</c:v>
                </c:pt>
                <c:pt idx="41">
                  <c:v>112201.84543019635</c:v>
                </c:pt>
                <c:pt idx="42">
                  <c:v>125892.54117941677</c:v>
                </c:pt>
                <c:pt idx="43">
                  <c:v>141253.75446227542</c:v>
                </c:pt>
                <c:pt idx="44">
                  <c:v>158489.31924611152</c:v>
                </c:pt>
                <c:pt idx="45">
                  <c:v>177827.94100389243</c:v>
                </c:pt>
                <c:pt idx="46">
                  <c:v>199526.23149688818</c:v>
                </c:pt>
                <c:pt idx="47">
                  <c:v>223872.11385683392</c:v>
                </c:pt>
                <c:pt idx="48">
                  <c:v>251188.64315095806</c:v>
                </c:pt>
                <c:pt idx="49">
                  <c:v>281838.29312644555</c:v>
                </c:pt>
                <c:pt idx="50">
                  <c:v>316227.76601683826</c:v>
                </c:pt>
                <c:pt idx="51">
                  <c:v>354813.38923357567</c:v>
                </c:pt>
                <c:pt idx="52">
                  <c:v>398107.17055349762</c:v>
                </c:pt>
                <c:pt idx="53">
                  <c:v>446683.59215096373</c:v>
                </c:pt>
                <c:pt idx="54">
                  <c:v>501187.23362727271</c:v>
                </c:pt>
                <c:pt idx="55">
                  <c:v>562341.32519034925</c:v>
                </c:pt>
                <c:pt idx="56">
                  <c:v>630957.3444801938</c:v>
                </c:pt>
                <c:pt idx="57">
                  <c:v>707945.78438413749</c:v>
                </c:pt>
                <c:pt idx="58">
                  <c:v>794328.23472428205</c:v>
                </c:pt>
                <c:pt idx="59">
                  <c:v>891250.9381337458</c:v>
                </c:pt>
                <c:pt idx="60">
                  <c:v>1000000</c:v>
                </c:pt>
                <c:pt idx="61">
                  <c:v>1122018.4543019636</c:v>
                </c:pt>
                <c:pt idx="62">
                  <c:v>1258925.4117941679</c:v>
                </c:pt>
                <c:pt idx="63">
                  <c:v>1412537.5446227544</c:v>
                </c:pt>
                <c:pt idx="64">
                  <c:v>1584893.1924611155</c:v>
                </c:pt>
                <c:pt idx="65">
                  <c:v>1778279.4100389243</c:v>
                </c:pt>
                <c:pt idx="66">
                  <c:v>1995262.3149688824</c:v>
                </c:pt>
                <c:pt idx="67">
                  <c:v>2238721.1385683417</c:v>
                </c:pt>
                <c:pt idx="68">
                  <c:v>2511886.4315095833</c:v>
                </c:pt>
                <c:pt idx="69">
                  <c:v>2818382.9312644536</c:v>
                </c:pt>
                <c:pt idx="70">
                  <c:v>3162277.6601683805</c:v>
                </c:pt>
                <c:pt idx="71">
                  <c:v>3548133.8923357539</c:v>
                </c:pt>
                <c:pt idx="72">
                  <c:v>3981071.7055349699</c:v>
                </c:pt>
                <c:pt idx="73">
                  <c:v>4466835.9215096347</c:v>
                </c:pt>
                <c:pt idx="74">
                  <c:v>5011872.3362727324</c:v>
                </c:pt>
                <c:pt idx="75">
                  <c:v>5623413.2519034995</c:v>
                </c:pt>
                <c:pt idx="76">
                  <c:v>6309573.4448019387</c:v>
                </c:pt>
                <c:pt idx="77">
                  <c:v>7079457.8438413832</c:v>
                </c:pt>
                <c:pt idx="78">
                  <c:v>7943282.3472428303</c:v>
                </c:pt>
                <c:pt idx="79">
                  <c:v>8912509.3813374676</c:v>
                </c:pt>
                <c:pt idx="80">
                  <c:v>10000000</c:v>
                </c:pt>
                <c:pt idx="81">
                  <c:v>11220184.54301966</c:v>
                </c:pt>
                <c:pt idx="82">
                  <c:v>12589254.117941672</c:v>
                </c:pt>
                <c:pt idx="83">
                  <c:v>14125375.446227536</c:v>
                </c:pt>
                <c:pt idx="84">
                  <c:v>15848931.924611146</c:v>
                </c:pt>
                <c:pt idx="85">
                  <c:v>17782794.100389235</c:v>
                </c:pt>
                <c:pt idx="86">
                  <c:v>19952623.149688791</c:v>
                </c:pt>
                <c:pt idx="87">
                  <c:v>22387211.385683384</c:v>
                </c:pt>
                <c:pt idx="88">
                  <c:v>25118864.315095861</c:v>
                </c:pt>
                <c:pt idx="89">
                  <c:v>28183829.312644593</c:v>
                </c:pt>
                <c:pt idx="90">
                  <c:v>31622776.60168384</c:v>
                </c:pt>
                <c:pt idx="91">
                  <c:v>35481338.923357584</c:v>
                </c:pt>
                <c:pt idx="92">
                  <c:v>39810717.055349812</c:v>
                </c:pt>
                <c:pt idx="93">
                  <c:v>44668359.215096392</c:v>
                </c:pt>
                <c:pt idx="94">
                  <c:v>50118723.36272721</c:v>
                </c:pt>
                <c:pt idx="95">
                  <c:v>56234132.519034952</c:v>
                </c:pt>
                <c:pt idx="96">
                  <c:v>63095734.448019341</c:v>
                </c:pt>
                <c:pt idx="97">
                  <c:v>70794578.438413784</c:v>
                </c:pt>
                <c:pt idx="98">
                  <c:v>79432823.472428232</c:v>
                </c:pt>
                <c:pt idx="99">
                  <c:v>89125093.813374609</c:v>
                </c:pt>
                <c:pt idx="100">
                  <c:v>100000000</c:v>
                </c:pt>
              </c:numCache>
            </c:numRef>
          </c:xVal>
          <c:yVal>
            <c:numRef>
              <c:f>'4thOrderLoop'!$C$88:$C$188</c:f>
              <c:numCache>
                <c:formatCode>0.00E+00</c:formatCode>
                <c:ptCount val="101"/>
                <c:pt idx="0">
                  <c:v>78.482087888164841</c:v>
                </c:pt>
                <c:pt idx="1">
                  <c:v>76.482398569814208</c:v>
                </c:pt>
                <c:pt idx="2">
                  <c:v>74.482789662916289</c:v>
                </c:pt>
                <c:pt idx="3">
                  <c:v>72.483281969378368</c:v>
                </c:pt>
                <c:pt idx="4">
                  <c:v>70.483901666344607</c:v>
                </c:pt>
                <c:pt idx="5">
                  <c:v>68.484681691612053</c:v>
                </c:pt>
                <c:pt idx="6">
                  <c:v>66.485663484049894</c:v>
                </c:pt>
                <c:pt idx="7">
                  <c:v>64.486899168776745</c:v>
                </c:pt>
                <c:pt idx="8">
                  <c:v>62.488454298833588</c:v>
                </c:pt>
                <c:pt idx="9">
                  <c:v>60.490411292038495</c:v>
                </c:pt>
                <c:pt idx="10">
                  <c:v>58.492873734493323</c:v>
                </c:pt>
                <c:pt idx="11">
                  <c:v>56.495971761691933</c:v>
                </c:pt>
                <c:pt idx="12">
                  <c:v>54.499868775074773</c:v>
                </c:pt>
                <c:pt idx="13">
                  <c:v>52.504769806532543</c:v>
                </c:pt>
                <c:pt idx="14">
                  <c:v>50.510931905364778</c:v>
                </c:pt>
                <c:pt idx="15">
                  <c:v>48.518676989734715</c:v>
                </c:pt>
                <c:pt idx="16">
                  <c:v>46.52840767352793</c:v>
                </c:pt>
                <c:pt idx="17">
                  <c:v>44.540626641626105</c:v>
                </c:pt>
                <c:pt idx="18">
                  <c:v>42.555960187777295</c:v>
                </c:pt>
                <c:pt idx="19">
                  <c:v>40.57518652617938</c:v>
                </c:pt>
                <c:pt idx="20">
                  <c:v>38.599269404203028</c:v>
                </c:pt>
                <c:pt idx="21">
                  <c:v>36.62939732525664</c:v>
                </c:pt>
                <c:pt idx="22">
                  <c:v>34.667028261489328</c:v>
                </c:pt>
                <c:pt idx="23">
                  <c:v>32.7139389959219</c:v>
                </c:pt>
                <c:pt idx="24">
                  <c:v>30.772277064510845</c:v>
                </c:pt>
                <c:pt idx="25">
                  <c:v>28.844611554699991</c:v>
                </c:pt>
                <c:pt idx="26">
                  <c:v>26.933976691621304</c:v>
                </c:pt>
                <c:pt idx="27">
                  <c:v>25.043899274868124</c:v>
                </c:pt>
                <c:pt idx="28">
                  <c:v>23.178397951251164</c:v>
                </c:pt>
                <c:pt idx="29">
                  <c:v>21.341939774132758</c:v>
                </c:pt>
                <c:pt idx="30">
                  <c:v>19.539338782613928</c:v>
                </c:pt>
                <c:pt idx="31">
                  <c:v>17.775584141439371</c:v>
                </c:pt>
                <c:pt idx="32">
                  <c:v>16.05559337789488</c:v>
                </c:pt>
                <c:pt idx="33">
                  <c:v>14.383900080782055</c:v>
                </c:pt>
                <c:pt idx="34">
                  <c:v>12.764303466695031</c:v>
                </c:pt>
                <c:pt idx="35">
                  <c:v>11.199524797656181</c:v>
                </c:pt>
                <c:pt idx="36">
                  <c:v>9.6909257854955619</c:v>
                </c:pt>
                <c:pt idx="37">
                  <c:v>8.2383404278736307</c:v>
                </c:pt>
                <c:pt idx="38">
                  <c:v>6.8400522322659754</c:v>
                </c:pt>
                <c:pt idx="39">
                  <c:v>5.4929183682287777</c:v>
                </c:pt>
                <c:pt idx="40">
                  <c:v>4.1926111616058712</c:v>
                </c:pt>
                <c:pt idx="41">
                  <c:v>2.9339260947156394</c:v>
                </c:pt>
                <c:pt idx="42">
                  <c:v>1.711099839230251</c:v>
                </c:pt>
                <c:pt idx="43">
                  <c:v>0.51809069632615234</c:v>
                </c:pt>
                <c:pt idx="44">
                  <c:v>-0.65120885888641011</c:v>
                </c:pt>
                <c:pt idx="45">
                  <c:v>-1.8028390506569383</c:v>
                </c:pt>
                <c:pt idx="46">
                  <c:v>-2.9427153206538885</c:v>
                </c:pt>
                <c:pt idx="47">
                  <c:v>-4.0766327744172246</c:v>
                </c:pt>
                <c:pt idx="48">
                  <c:v>-5.2103137039107921</c:v>
                </c:pt>
                <c:pt idx="49">
                  <c:v>-6.3494773440346988</c:v>
                </c:pt>
                <c:pt idx="50">
                  <c:v>-7.4999105158006891</c:v>
                </c:pt>
                <c:pt idx="51">
                  <c:v>-8.6675177962709657</c:v>
                </c:pt>
                <c:pt idx="52">
                  <c:v>-9.8583302940509334</c:v>
                </c:pt>
                <c:pt idx="53">
                  <c:v>-11.078453918826936</c:v>
                </c:pt>
                <c:pt idx="54">
                  <c:v>-12.33394283931066</c:v>
                </c:pt>
                <c:pt idx="55">
                  <c:v>-13.63059332420443</c:v>
                </c:pt>
                <c:pt idx="56">
                  <c:v>-14.973668042573232</c:v>
                </c:pt>
                <c:pt idx="57">
                  <c:v>-16.367579538549293</c:v>
                </c:pt>
                <c:pt idx="58">
                  <c:v>-17.815579291890501</c:v>
                </c:pt>
                <c:pt idx="59">
                  <c:v>-19.319508594707784</c:v>
                </c:pt>
                <c:pt idx="60">
                  <c:v>-20.879663169716732</c:v>
                </c:pt>
                <c:pt idx="61">
                  <c:v>-22.494803374481862</c:v>
                </c:pt>
                <c:pt idx="62">
                  <c:v>-24.162311163016387</c:v>
                </c:pt>
                <c:pt idx="63">
                  <c:v>-25.878464068982716</c:v>
                </c:pt>
                <c:pt idx="64">
                  <c:v>-27.638775800324687</c:v>
                </c:pt>
                <c:pt idx="65">
                  <c:v>-29.438348023300659</c:v>
                </c:pt>
                <c:pt idx="66">
                  <c:v>-31.272187126268875</c:v>
                </c:pt>
                <c:pt idx="67">
                  <c:v>-33.135456998181368</c:v>
                </c:pt>
                <c:pt idx="68">
                  <c:v>-35.023657078311949</c:v>
                </c:pt>
                <c:pt idx="69">
                  <c:v>-36.932729212651878</c:v>
                </c:pt>
                <c:pt idx="70">
                  <c:v>-38.859105329543027</c:v>
                </c:pt>
                <c:pt idx="71">
                  <c:v>-40.799711127663095</c:v>
                </c:pt>
                <c:pt idx="72">
                  <c:v>-42.751940475533985</c:v>
                </c:pt>
                <c:pt idx="73">
                  <c:v>-44.713612781755145</c:v>
                </c:pt>
                <c:pt idx="74">
                  <c:v>-46.682922527270136</c:v>
                </c:pt>
                <c:pt idx="75">
                  <c:v>-48.658387247988315</c:v>
                </c:pt>
                <c:pt idx="76">
                  <c:v>-50.638797880431056</c:v>
                </c:pt>
                <c:pt idx="77">
                  <c:v>-52.623173619813187</c:v>
                </c:pt>
                <c:pt idx="78">
                  <c:v>-54.610722229859391</c:v>
                </c:pt>
                <c:pt idx="79">
                  <c:v>-56.600805972650136</c:v>
                </c:pt>
                <c:pt idx="80">
                  <c:v>-58.592912875841492</c:v>
                </c:pt>
                <c:pt idx="81">
                  <c:v>-60.586632821923359</c:v>
                </c:pt>
                <c:pt idx="82">
                  <c:v>-62.58163785165835</c:v>
                </c:pt>
                <c:pt idx="83">
                  <c:v>-64.577666065692924</c:v>
                </c:pt>
                <c:pt idx="84">
                  <c:v>-66.574508546870518</c:v>
                </c:pt>
                <c:pt idx="85">
                  <c:v>-68.571998786789663</c:v>
                </c:pt>
                <c:pt idx="86">
                  <c:v>-70.570004168828618</c:v>
                </c:pt>
                <c:pt idx="87">
                  <c:v>-72.568419127705127</c:v>
                </c:pt>
                <c:pt idx="88">
                  <c:v>-74.567159668196524</c:v>
                </c:pt>
                <c:pt idx="89">
                  <c:v>-76.566158980941111</c:v>
                </c:pt>
                <c:pt idx="90">
                  <c:v>-78.565363940775455</c:v>
                </c:pt>
                <c:pt idx="91">
                  <c:v>-80.564732313130477</c:v>
                </c:pt>
                <c:pt idx="92">
                  <c:v>-82.564230527318244</c:v>
                </c:pt>
                <c:pt idx="93">
                  <c:v>-84.563831902938418</c:v>
                </c:pt>
                <c:pt idx="94">
                  <c:v>-86.563515237996441</c:v>
                </c:pt>
                <c:pt idx="95">
                  <c:v>-88.563263685468996</c:v>
                </c:pt>
                <c:pt idx="96">
                  <c:v>-90.563063859704158</c:v>
                </c:pt>
                <c:pt idx="97">
                  <c:v>-92.562905125837943</c:v>
                </c:pt>
                <c:pt idx="98">
                  <c:v>-94.562779034869465</c:v>
                </c:pt>
                <c:pt idx="99">
                  <c:v>-96.562678874617518</c:v>
                </c:pt>
                <c:pt idx="100">
                  <c:v>-98.562599312838444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'4thOrderLoop'!$D$87</c:f>
              <c:strCache>
                <c:ptCount val="1"/>
                <c:pt idx="0">
                  <c:v>phase margin deg</c:v>
                </c:pt>
              </c:strCache>
            </c:strRef>
          </c:tx>
          <c:marker>
            <c:symbol val="none"/>
          </c:marker>
          <c:xVal>
            <c:numRef>
              <c:f>'4thOrderLoop'!$B$88:$B$188</c:f>
              <c:numCache>
                <c:formatCode>0.00E+00</c:formatCode>
                <c:ptCount val="101"/>
                <c:pt idx="0">
                  <c:v>1000</c:v>
                </c:pt>
                <c:pt idx="1">
                  <c:v>1122.0184543019636</c:v>
                </c:pt>
                <c:pt idx="2">
                  <c:v>1258.9254117941673</c:v>
                </c:pt>
                <c:pt idx="3">
                  <c:v>1412.5375446227545</c:v>
                </c:pt>
                <c:pt idx="4">
                  <c:v>1584.8931924611136</c:v>
                </c:pt>
                <c:pt idx="5">
                  <c:v>1778.2794100389231</c:v>
                </c:pt>
                <c:pt idx="6">
                  <c:v>1995.2623149688798</c:v>
                </c:pt>
                <c:pt idx="7">
                  <c:v>2238.7211385683399</c:v>
                </c:pt>
                <c:pt idx="8">
                  <c:v>2511.8864315095807</c:v>
                </c:pt>
                <c:pt idx="9">
                  <c:v>2818.3829312644539</c:v>
                </c:pt>
                <c:pt idx="10">
                  <c:v>3162.2776601683795</c:v>
                </c:pt>
                <c:pt idx="11">
                  <c:v>3548.1338923357553</c:v>
                </c:pt>
                <c:pt idx="12">
                  <c:v>3981.0717055349728</c:v>
                </c:pt>
                <c:pt idx="13">
                  <c:v>4466.8359215096316</c:v>
                </c:pt>
                <c:pt idx="14">
                  <c:v>5011.8723362727242</c:v>
                </c:pt>
                <c:pt idx="15">
                  <c:v>5623.413251903492</c:v>
                </c:pt>
                <c:pt idx="16">
                  <c:v>6309.5734448019339</c:v>
                </c:pt>
                <c:pt idx="17">
                  <c:v>7079.457843841381</c:v>
                </c:pt>
                <c:pt idx="18">
                  <c:v>7943.2823472428136</c:v>
                </c:pt>
                <c:pt idx="19">
                  <c:v>8912.5093813374569</c:v>
                </c:pt>
                <c:pt idx="20">
                  <c:v>10000</c:v>
                </c:pt>
                <c:pt idx="21">
                  <c:v>11220.184543019635</c:v>
                </c:pt>
                <c:pt idx="22">
                  <c:v>12589.25411794168</c:v>
                </c:pt>
                <c:pt idx="23">
                  <c:v>14125.37544622755</c:v>
                </c:pt>
                <c:pt idx="24">
                  <c:v>15848.931924611137</c:v>
                </c:pt>
                <c:pt idx="25">
                  <c:v>17782.794100389234</c:v>
                </c:pt>
                <c:pt idx="26">
                  <c:v>19952.623149688803</c:v>
                </c:pt>
                <c:pt idx="27">
                  <c:v>22387.211385683404</c:v>
                </c:pt>
                <c:pt idx="28">
                  <c:v>25118.864315095809</c:v>
                </c:pt>
                <c:pt idx="29">
                  <c:v>28183.82931264455</c:v>
                </c:pt>
                <c:pt idx="30">
                  <c:v>31622.776601683803</c:v>
                </c:pt>
                <c:pt idx="31">
                  <c:v>35481.338923357558</c:v>
                </c:pt>
                <c:pt idx="32">
                  <c:v>39810.717055349756</c:v>
                </c:pt>
                <c:pt idx="33">
                  <c:v>44668.359215096345</c:v>
                </c:pt>
                <c:pt idx="34">
                  <c:v>50118.723362727258</c:v>
                </c:pt>
                <c:pt idx="35">
                  <c:v>56234.132519034916</c:v>
                </c:pt>
                <c:pt idx="36">
                  <c:v>63095.734448019306</c:v>
                </c:pt>
                <c:pt idx="37">
                  <c:v>70794.578438413868</c:v>
                </c:pt>
                <c:pt idx="38">
                  <c:v>79432.823472428194</c:v>
                </c:pt>
                <c:pt idx="39">
                  <c:v>89125.093813374639</c:v>
                </c:pt>
                <c:pt idx="40">
                  <c:v>100000</c:v>
                </c:pt>
                <c:pt idx="41">
                  <c:v>112201.84543019635</c:v>
                </c:pt>
                <c:pt idx="42">
                  <c:v>125892.54117941677</c:v>
                </c:pt>
                <c:pt idx="43">
                  <c:v>141253.75446227542</c:v>
                </c:pt>
                <c:pt idx="44">
                  <c:v>158489.31924611152</c:v>
                </c:pt>
                <c:pt idx="45">
                  <c:v>177827.94100389243</c:v>
                </c:pt>
                <c:pt idx="46">
                  <c:v>199526.23149688818</c:v>
                </c:pt>
                <c:pt idx="47">
                  <c:v>223872.11385683392</c:v>
                </c:pt>
                <c:pt idx="48">
                  <c:v>251188.64315095806</c:v>
                </c:pt>
                <c:pt idx="49">
                  <c:v>281838.29312644555</c:v>
                </c:pt>
                <c:pt idx="50">
                  <c:v>316227.76601683826</c:v>
                </c:pt>
                <c:pt idx="51">
                  <c:v>354813.38923357567</c:v>
                </c:pt>
                <c:pt idx="52">
                  <c:v>398107.17055349762</c:v>
                </c:pt>
                <c:pt idx="53">
                  <c:v>446683.59215096373</c:v>
                </c:pt>
                <c:pt idx="54">
                  <c:v>501187.23362727271</c:v>
                </c:pt>
                <c:pt idx="55">
                  <c:v>562341.32519034925</c:v>
                </c:pt>
                <c:pt idx="56">
                  <c:v>630957.3444801938</c:v>
                </c:pt>
                <c:pt idx="57">
                  <c:v>707945.78438413749</c:v>
                </c:pt>
                <c:pt idx="58">
                  <c:v>794328.23472428205</c:v>
                </c:pt>
                <c:pt idx="59">
                  <c:v>891250.9381337458</c:v>
                </c:pt>
                <c:pt idx="60">
                  <c:v>1000000</c:v>
                </c:pt>
                <c:pt idx="61">
                  <c:v>1122018.4543019636</c:v>
                </c:pt>
                <c:pt idx="62">
                  <c:v>1258925.4117941679</c:v>
                </c:pt>
                <c:pt idx="63">
                  <c:v>1412537.5446227544</c:v>
                </c:pt>
                <c:pt idx="64">
                  <c:v>1584893.1924611155</c:v>
                </c:pt>
                <c:pt idx="65">
                  <c:v>1778279.4100389243</c:v>
                </c:pt>
                <c:pt idx="66">
                  <c:v>1995262.3149688824</c:v>
                </c:pt>
                <c:pt idx="67">
                  <c:v>2238721.1385683417</c:v>
                </c:pt>
                <c:pt idx="68">
                  <c:v>2511886.4315095833</c:v>
                </c:pt>
                <c:pt idx="69">
                  <c:v>2818382.9312644536</c:v>
                </c:pt>
                <c:pt idx="70">
                  <c:v>3162277.6601683805</c:v>
                </c:pt>
                <c:pt idx="71">
                  <c:v>3548133.8923357539</c:v>
                </c:pt>
                <c:pt idx="72">
                  <c:v>3981071.7055349699</c:v>
                </c:pt>
                <c:pt idx="73">
                  <c:v>4466835.9215096347</c:v>
                </c:pt>
                <c:pt idx="74">
                  <c:v>5011872.3362727324</c:v>
                </c:pt>
                <c:pt idx="75">
                  <c:v>5623413.2519034995</c:v>
                </c:pt>
                <c:pt idx="76">
                  <c:v>6309573.4448019387</c:v>
                </c:pt>
                <c:pt idx="77">
                  <c:v>7079457.8438413832</c:v>
                </c:pt>
                <c:pt idx="78">
                  <c:v>7943282.3472428303</c:v>
                </c:pt>
                <c:pt idx="79">
                  <c:v>8912509.3813374676</c:v>
                </c:pt>
                <c:pt idx="80">
                  <c:v>10000000</c:v>
                </c:pt>
                <c:pt idx="81">
                  <c:v>11220184.54301966</c:v>
                </c:pt>
                <c:pt idx="82">
                  <c:v>12589254.117941672</c:v>
                </c:pt>
                <c:pt idx="83">
                  <c:v>14125375.446227536</c:v>
                </c:pt>
                <c:pt idx="84">
                  <c:v>15848931.924611146</c:v>
                </c:pt>
                <c:pt idx="85">
                  <c:v>17782794.100389235</c:v>
                </c:pt>
                <c:pt idx="86">
                  <c:v>19952623.149688791</c:v>
                </c:pt>
                <c:pt idx="87">
                  <c:v>22387211.385683384</c:v>
                </c:pt>
                <c:pt idx="88">
                  <c:v>25118864.315095861</c:v>
                </c:pt>
                <c:pt idx="89">
                  <c:v>28183829.312644593</c:v>
                </c:pt>
                <c:pt idx="90">
                  <c:v>31622776.60168384</c:v>
                </c:pt>
                <c:pt idx="91">
                  <c:v>35481338.923357584</c:v>
                </c:pt>
                <c:pt idx="92">
                  <c:v>39810717.055349812</c:v>
                </c:pt>
                <c:pt idx="93">
                  <c:v>44668359.215096392</c:v>
                </c:pt>
                <c:pt idx="94">
                  <c:v>50118723.36272721</c:v>
                </c:pt>
                <c:pt idx="95">
                  <c:v>56234132.519034952</c:v>
                </c:pt>
                <c:pt idx="96">
                  <c:v>63095734.448019341</c:v>
                </c:pt>
                <c:pt idx="97">
                  <c:v>70794578.438413784</c:v>
                </c:pt>
                <c:pt idx="98">
                  <c:v>79432823.472428232</c:v>
                </c:pt>
                <c:pt idx="99">
                  <c:v>89125093.813374609</c:v>
                </c:pt>
                <c:pt idx="100">
                  <c:v>100000000</c:v>
                </c:pt>
              </c:numCache>
            </c:numRef>
          </c:xVal>
          <c:yVal>
            <c:numRef>
              <c:f>'4thOrderLoop'!$D$88:$D$188</c:f>
              <c:numCache>
                <c:formatCode>0.00E+00</c:formatCode>
                <c:ptCount val="101"/>
                <c:pt idx="0">
                  <c:v>0.81895980635217236</c:v>
                </c:pt>
                <c:pt idx="1">
                  <c:v>0.91886235670150496</c:v>
                </c:pt>
                <c:pt idx="2">
                  <c:v>1.0309442799114661</c:v>
                </c:pt>
                <c:pt idx="3">
                  <c:v>1.1566873215456377</c:v>
                </c:pt>
                <c:pt idx="4">
                  <c:v>1.2977522298370032</c:v>
                </c:pt>
                <c:pt idx="5">
                  <c:v>1.4559998573878272</c:v>
                </c:pt>
                <c:pt idx="6">
                  <c:v>1.6335145337091816</c:v>
                </c:pt>
                <c:pt idx="7">
                  <c:v>1.8326298612929011</c:v>
                </c:pt>
                <c:pt idx="8">
                  <c:v>2.0559570560002558</c:v>
                </c:pt>
                <c:pt idx="9">
                  <c:v>2.3064158964999608</c:v>
                </c:pt>
                <c:pt idx="10">
                  <c:v>2.5872682564549465</c:v>
                </c:pt>
                <c:pt idx="11">
                  <c:v>2.9021540520781741</c:v>
                </c:pt>
                <c:pt idx="12">
                  <c:v>3.2551292258149074</c:v>
                </c:pt>
                <c:pt idx="13">
                  <c:v>3.6507050760395328</c:v>
                </c:pt>
                <c:pt idx="14">
                  <c:v>4.0938877949162054</c:v>
                </c:pt>
                <c:pt idx="15">
                  <c:v>4.5902164421056249</c:v>
                </c:pt>
                <c:pt idx="16">
                  <c:v>5.1457966967879836</c:v>
                </c:pt>
                <c:pt idx="17">
                  <c:v>5.7673265152201445</c:v>
                </c:pt>
                <c:pt idx="18">
                  <c:v>6.4621081827505735</c:v>
                </c:pt>
                <c:pt idx="19">
                  <c:v>7.2380390883649088</c:v>
                </c:pt>
                <c:pt idx="20">
                  <c:v>8.1035707781354578</c:v>
                </c:pt>
                <c:pt idx="21">
                  <c:v>9.0676224201817455</c:v>
                </c:pt>
                <c:pt idx="22">
                  <c:v>10.139430808386706</c:v>
                </c:pt>
                <c:pt idx="23">
                  <c:v>11.328314733371972</c:v>
                </c:pt>
                <c:pt idx="24">
                  <c:v>12.643327620878166</c:v>
                </c:pt>
                <c:pt idx="25">
                  <c:v>14.092770025206036</c:v>
                </c:pt>
                <c:pt idx="26">
                  <c:v>15.683534910917297</c:v>
                </c:pt>
                <c:pt idx="27">
                  <c:v>17.420266610519253</c:v>
                </c:pt>
                <c:pt idx="28">
                  <c:v>19.304332554476613</c:v>
                </c:pt>
                <c:pt idx="29">
                  <c:v>21.332638786645735</c:v>
                </c:pt>
                <c:pt idx="30">
                  <c:v>23.496367251564866</c:v>
                </c:pt>
                <c:pt idx="31">
                  <c:v>25.779771123655681</c:v>
                </c:pt>
                <c:pt idx="32">
                  <c:v>28.159221983180419</c:v>
                </c:pt>
                <c:pt idx="33">
                  <c:v>30.602737874320088</c:v>
                </c:pt>
                <c:pt idx="34">
                  <c:v>33.070207320890312</c:v>
                </c:pt>
                <c:pt idx="35">
                  <c:v>35.514440628823998</c:v>
                </c:pt>
                <c:pt idx="36">
                  <c:v>37.883028135506173</c:v>
                </c:pt>
                <c:pt idx="37">
                  <c:v>40.120800636076211</c:v>
                </c:pt>
                <c:pt idx="38">
                  <c:v>42.172531904426918</c:v>
                </c:pt>
                <c:pt idx="39">
                  <c:v>43.985458688808244</c:v>
                </c:pt>
                <c:pt idx="40">
                  <c:v>45.51124793729506</c:v>
                </c:pt>
                <c:pt idx="41">
                  <c:v>46.707192473838347</c:v>
                </c:pt>
                <c:pt idx="42">
                  <c:v>47.5366060919552</c:v>
                </c:pt>
                <c:pt idx="43">
                  <c:v>47.968553667390495</c:v>
                </c:pt>
                <c:pt idx="44">
                  <c:v>47.977152219913719</c:v>
                </c:pt>
                <c:pt idx="45">
                  <c:v>47.54070906327383</c:v>
                </c:pt>
                <c:pt idx="46">
                  <c:v>46.640941381332752</c:v>
                </c:pt>
                <c:pt idx="47">
                  <c:v>45.262473306157631</c:v>
                </c:pt>
                <c:pt idx="48">
                  <c:v>43.392751927100569</c:v>
                </c:pt>
                <c:pt idx="49">
                  <c:v>41.022471755159472</c:v>
                </c:pt>
                <c:pt idx="50">
                  <c:v>38.146546673655017</c:v>
                </c:pt>
                <c:pt idx="51">
                  <c:v>34.76561112810343</c:v>
                </c:pt>
                <c:pt idx="52">
                  <c:v>30.887958121178947</c:v>
                </c:pt>
                <c:pt idx="53">
                  <c:v>26.531724421032983</c:v>
                </c:pt>
                <c:pt idx="54">
                  <c:v>21.727018313831437</c:v>
                </c:pt>
                <c:pt idx="55">
                  <c:v>16.517575054687978</c:v>
                </c:pt>
                <c:pt idx="56">
                  <c:v>10.961462450104056</c:v>
                </c:pt>
                <c:pt idx="57">
                  <c:v>5.1303968917855238</c:v>
                </c:pt>
                <c:pt idx="58">
                  <c:v>-0.89259165218257064</c:v>
                </c:pt>
                <c:pt idx="59">
                  <c:v>-7.0170950016882365</c:v>
                </c:pt>
                <c:pt idx="60">
                  <c:v>-13.150438653907054</c:v>
                </c:pt>
                <c:pt idx="61">
                  <c:v>-19.203237062519111</c:v>
                </c:pt>
                <c:pt idx="62">
                  <c:v>-25.094535062158531</c:v>
                </c:pt>
                <c:pt idx="63">
                  <c:v>-30.755791110070302</c:v>
                </c:pt>
                <c:pt idx="64">
                  <c:v>-36.133259713606819</c:v>
                </c:pt>
                <c:pt idx="65">
                  <c:v>-41.188700955079753</c:v>
                </c:pt>
                <c:pt idx="66">
                  <c:v>-45.89865834947858</c:v>
                </c:pt>
                <c:pt idx="67">
                  <c:v>-50.252726636274197</c:v>
                </c:pt>
                <c:pt idx="68">
                  <c:v>-54.25126984406792</c:v>
                </c:pt>
                <c:pt idx="69">
                  <c:v>-57.902985858073436</c:v>
                </c:pt>
                <c:pt idx="70">
                  <c:v>-61.22260062631981</c:v>
                </c:pt>
                <c:pt idx="71">
                  <c:v>-64.228857599103108</c:v>
                </c:pt>
                <c:pt idx="72">
                  <c:v>-66.942871734890502</c:v>
                </c:pt>
                <c:pt idx="73">
                  <c:v>-69.386851084896477</c:v>
                </c:pt>
                <c:pt idx="74">
                  <c:v>-71.583150495894671</c:v>
                </c:pt>
                <c:pt idx="75">
                  <c:v>-73.553604618115926</c:v>
                </c:pt>
                <c:pt idx="76">
                  <c:v>-75.319083828060258</c:v>
                </c:pt>
                <c:pt idx="77">
                  <c:v>-76.899220831932666</c:v>
                </c:pt>
                <c:pt idx="78">
                  <c:v>-78.312263374963507</c:v>
                </c:pt>
                <c:pt idx="79">
                  <c:v>-79.575017039192645</c:v>
                </c:pt>
                <c:pt idx="80">
                  <c:v>-80.702850161150039</c:v>
                </c:pt>
                <c:pt idx="81">
                  <c:v>-81.709739816628272</c:v>
                </c:pt>
                <c:pt idx="82">
                  <c:v>-82.608343435043949</c:v>
                </c:pt>
                <c:pt idx="83">
                  <c:v>-83.410084990615275</c:v>
                </c:pt>
                <c:pt idx="84">
                  <c:v>-84.125248043844508</c:v>
                </c:pt>
                <c:pt idx="85">
                  <c:v>-84.763070373379435</c:v>
                </c:pt>
                <c:pt idx="86">
                  <c:v>-85.33183673291478</c:v>
                </c:pt>
                <c:pt idx="87">
                  <c:v>-85.838967551297856</c:v>
                </c:pt>
                <c:pt idx="88">
                  <c:v>-86.291102296756861</c:v>
                </c:pt>
                <c:pt idx="89">
                  <c:v>-86.694176849900728</c:v>
                </c:pt>
                <c:pt idx="90">
                  <c:v>-87.053494652199717</c:v>
                </c:pt>
                <c:pt idx="91">
                  <c:v>-87.373791674738314</c:v>
                </c:pt>
                <c:pt idx="92">
                  <c:v>-87.659295428550806</c:v>
                </c:pt>
                <c:pt idx="93">
                  <c:v>-87.913778343597642</c:v>
                </c:pt>
                <c:pt idx="94">
                  <c:v>-88.140605900571785</c:v>
                </c:pt>
                <c:pt idx="95">
                  <c:v>-88.342779924014991</c:v>
                </c:pt>
                <c:pt idx="96">
                  <c:v>-88.522977447831536</c:v>
                </c:pt>
                <c:pt idx="97">
                  <c:v>-88.683585553017778</c:v>
                </c:pt>
                <c:pt idx="98">
                  <c:v>-88.826732557696403</c:v>
                </c:pt>
                <c:pt idx="99">
                  <c:v>-88.954315915071206</c:v>
                </c:pt>
                <c:pt idx="100">
                  <c:v>-89.068027148205687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31616"/>
        <c:axId val="93633152"/>
      </c:scatterChart>
      <c:valAx>
        <c:axId val="93631616"/>
        <c:scaling>
          <c:logBase val="10"/>
          <c:orientation val="minMax"/>
          <c:min val="100"/>
        </c:scaling>
        <c:delete val="0"/>
        <c:axPos val="b"/>
        <c:numFmt formatCode="0.E+00" sourceLinked="0"/>
        <c:majorTickMark val="out"/>
        <c:minorTickMark val="none"/>
        <c:tickLblPos val="nextTo"/>
        <c:crossAx val="93633152"/>
        <c:crossesAt val="-200"/>
        <c:crossBetween val="midCat"/>
      </c:valAx>
      <c:valAx>
        <c:axId val="93633152"/>
        <c:scaling>
          <c:orientation val="minMax"/>
        </c:scaling>
        <c:delete val="0"/>
        <c:axPos val="l"/>
        <c:majorGridlines/>
        <c:numFmt formatCode="General" sourceLinked="0"/>
        <c:majorTickMark val="out"/>
        <c:minorTickMark val="none"/>
        <c:tickLblPos val="nextTo"/>
        <c:crossAx val="93631616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="1"/>
              <a:t>Closed Loop Phase Noise at VCO Output</a:t>
            </a:r>
          </a:p>
        </c:rich>
      </c:tx>
      <c:layout>
        <c:manualLayout>
          <c:xMode val="edge"/>
          <c:yMode val="edge"/>
          <c:x val="0.22904388785142688"/>
          <c:y val="2.84191678112774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92807503509343"/>
          <c:y val="0.16341030195381884"/>
          <c:w val="0.78512441955316759"/>
          <c:h val="0.6660746003552398"/>
        </c:manualLayout>
      </c:layout>
      <c:scatterChart>
        <c:scatterStyle val="smoothMarker"/>
        <c:varyColors val="0"/>
        <c:ser>
          <c:idx val="2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'4thOrderClosedLoopPhaseNoise'!$AK$8:$AK$128</c:f>
              <c:numCache>
                <c:formatCode>0.00</c:formatCode>
                <c:ptCount val="121"/>
                <c:pt idx="0">
                  <c:v>-92.630972725867252</c:v>
                </c:pt>
                <c:pt idx="1">
                  <c:v>-93.159438790186783</c:v>
                </c:pt>
                <c:pt idx="2">
                  <c:v>-93.686118328415304</c:v>
                </c:pt>
                <c:pt idx="3">
                  <c:v>-94.210982828586211</c:v>
                </c:pt>
                <c:pt idx="4">
                  <c:v>-94.733995245174597</c:v>
                </c:pt>
                <c:pt idx="5">
                  <c:v>-95.255109060186243</c:v>
                </c:pt>
                <c:pt idx="6">
                  <c:v>-95.774267261391785</c:v>
                </c:pt>
                <c:pt idx="7">
                  <c:v>-96.291401232304153</c:v>
                </c:pt>
                <c:pt idx="8">
                  <c:v>-96.806429549084186</c:v>
                </c:pt>
                <c:pt idx="9">
                  <c:v>-97.319256680477054</c:v>
                </c:pt>
                <c:pt idx="10">
                  <c:v>-97.829771588212168</c:v>
                </c:pt>
                <c:pt idx="11">
                  <c:v>-98.337846227123464</c:v>
                </c:pt>
                <c:pt idx="12">
                  <c:v>-98.843333946673297</c:v>
                </c:pt>
                <c:pt idx="13">
                  <c:v>-99.346067798683919</c:v>
                </c:pt>
                <c:pt idx="14">
                  <c:v>-99.845858760008483</c:v>
                </c:pt>
                <c:pt idx="15">
                  <c:v>-100.34249388368895</c:v>
                </c:pt>
                <c:pt idx="16">
                  <c:v>-100.83573439793454</c:v>
                </c:pt>
                <c:pt idx="17">
                  <c:v>-101.32531377901981</c:v>
                </c:pt>
                <c:pt idx="18">
                  <c:v>-101.81093583191671</c:v>
                </c:pt>
                <c:pt idx="19">
                  <c:v>-102.29227282098461</c:v>
                </c:pt>
                <c:pt idx="20">
                  <c:v>-102.76896370205552</c:v>
                </c:pt>
                <c:pt idx="21">
                  <c:v>-103.2741336283887</c:v>
                </c:pt>
                <c:pt idx="22">
                  <c:v>-103.76672293029172</c:v>
                </c:pt>
                <c:pt idx="23">
                  <c:v>-104.2473346260529</c:v>
                </c:pt>
                <c:pt idx="24">
                  <c:v>-104.71639764830635</c:v>
                </c:pt>
                <c:pt idx="25">
                  <c:v>-105.17417924949042</c:v>
                </c:pt>
                <c:pt idx="26">
                  <c:v>-105.62079834138447</c:v>
                </c:pt>
                <c:pt idx="27">
                  <c:v>-106.05623917948107</c:v>
                </c:pt>
                <c:pt idx="28">
                  <c:v>-106.48036498291336</c:v>
                </c:pt>
                <c:pt idx="29">
                  <c:v>-106.89293119796122</c:v>
                </c:pt>
                <c:pt idx="30">
                  <c:v>-107.29359817139276</c:v>
                </c:pt>
                <c:pt idx="31">
                  <c:v>-107.68194300516973</c:v>
                </c:pt>
                <c:pt idx="32">
                  <c:v>-108.05747032401776</c:v>
                </c:pt>
                <c:pt idx="33">
                  <c:v>-108.41962161111832</c:v>
                </c:pt>
                <c:pt idx="34">
                  <c:v>-108.76778266569652</c:v>
                </c:pt>
                <c:pt idx="35">
                  <c:v>-109.10128862323856</c:v>
                </c:pt>
                <c:pt idx="36">
                  <c:v>-109.41942587207386</c:v>
                </c:pt>
                <c:pt idx="37">
                  <c:v>-109.72143012214288</c:v>
                </c:pt>
                <c:pt idx="38">
                  <c:v>-110.00647986358516</c:v>
                </c:pt>
                <c:pt idx="39">
                  <c:v>-110.27368453554976</c:v>
                </c:pt>
                <c:pt idx="40">
                  <c:v>-110.52206696531029</c:v>
                </c:pt>
                <c:pt idx="41">
                  <c:v>-110.74902797891626</c:v>
                </c:pt>
                <c:pt idx="42">
                  <c:v>-110.95508387915592</c:v>
                </c:pt>
                <c:pt idx="43">
                  <c:v>-111.13880168230909</c:v>
                </c:pt>
                <c:pt idx="44">
                  <c:v>-111.29855697458062</c:v>
                </c:pt>
                <c:pt idx="45">
                  <c:v>-111.4325111278813</c:v>
                </c:pt>
                <c:pt idx="46">
                  <c:v>-111.53860690920885</c:v>
                </c:pt>
                <c:pt idx="47">
                  <c:v>-111.61459721671319</c:v>
                </c:pt>
                <c:pt idx="48">
                  <c:v>-111.65812675524195</c:v>
                </c:pt>
                <c:pt idx="49">
                  <c:v>-111.66689139427666</c:v>
                </c:pt>
                <c:pt idx="50">
                  <c:v>-111.6389033926025</c:v>
                </c:pt>
                <c:pt idx="51">
                  <c:v>-111.57289070494249</c:v>
                </c:pt>
                <c:pt idx="52">
                  <c:v>-111.46885295497731</c:v>
                </c:pt>
                <c:pt idx="53">
                  <c:v>-111.32878316762213</c:v>
                </c:pt>
                <c:pt idx="54">
                  <c:v>-111.15754079695046</c:v>
                </c:pt>
                <c:pt idx="55">
                  <c:v>-110.96382432144381</c:v>
                </c:pt>
                <c:pt idx="56">
                  <c:v>-110.76113265992316</c:v>
                </c:pt>
                <c:pt idx="57">
                  <c:v>-110.56851046722375</c:v>
                </c:pt>
                <c:pt idx="58">
                  <c:v>-110.41073579237653</c:v>
                </c:pt>
                <c:pt idx="59">
                  <c:v>-110.31746738341275</c:v>
                </c:pt>
                <c:pt idx="60">
                  <c:v>-110.3208646423632</c:v>
                </c:pt>
                <c:pt idx="61">
                  <c:v>-110.45156689849861</c:v>
                </c:pt>
                <c:pt idx="62">
                  <c:v>-110.73378771847612</c:v>
                </c:pt>
                <c:pt idx="63">
                  <c:v>-111.1812345511332</c:v>
                </c:pt>
                <c:pt idx="64">
                  <c:v>-111.79567354481277</c:v>
                </c:pt>
                <c:pt idx="65">
                  <c:v>-112.56872530563945</c:v>
                </c:pt>
                <c:pt idx="66">
                  <c:v>-113.48574043663609</c:v>
                </c:pt>
                <c:pt idx="67">
                  <c:v>-114.52978326578487</c:v>
                </c:pt>
                <c:pt idx="68">
                  <c:v>-115.68424843358014</c:v>
                </c:pt>
                <c:pt idx="69">
                  <c:v>-116.93366513448488</c:v>
                </c:pt>
                <c:pt idx="70">
                  <c:v>-118.26297847408519</c:v>
                </c:pt>
                <c:pt idx="71">
                  <c:v>-119.65584103583659</c:v>
                </c:pt>
                <c:pt idx="72">
                  <c:v>-121.09244000858651</c:v>
                </c:pt>
                <c:pt idx="73">
                  <c:v>-122.54742563066714</c:v>
                </c:pt>
                <c:pt idx="74">
                  <c:v>-123.98877647986284</c:v>
                </c:pt>
                <c:pt idx="75">
                  <c:v>-125.37887410644488</c:v>
                </c:pt>
                <c:pt idx="76">
                  <c:v>-126.6791306725257</c:v>
                </c:pt>
                <c:pt idx="77">
                  <c:v>-127.85823577788983</c:v>
                </c:pt>
                <c:pt idx="78">
                  <c:v>-128.90119439999506</c:v>
                </c:pt>
                <c:pt idx="79">
                  <c:v>-129.81407367413254</c:v>
                </c:pt>
                <c:pt idx="80">
                  <c:v>-130.62117072641036</c:v>
                </c:pt>
                <c:pt idx="81">
                  <c:v>-131.35644168702035</c:v>
                </c:pt>
                <c:pt idx="82">
                  <c:v>-132.05426633408945</c:v>
                </c:pt>
                <c:pt idx="83">
                  <c:v>-132.74334930101071</c:v>
                </c:pt>
                <c:pt idx="84">
                  <c:v>-133.44444335062767</c:v>
                </c:pt>
                <c:pt idx="85">
                  <c:v>-134.17069277680423</c:v>
                </c:pt>
                <c:pt idx="86">
                  <c:v>-134.92916197146576</c:v>
                </c:pt>
                <c:pt idx="87">
                  <c:v>-135.72260278502395</c:v>
                </c:pt>
                <c:pt idx="88">
                  <c:v>-136.5510161882203</c:v>
                </c:pt>
                <c:pt idx="89">
                  <c:v>-137.41287186923981</c:v>
                </c:pt>
                <c:pt idx="90">
                  <c:v>-138.30599454558575</c:v>
                </c:pt>
                <c:pt idx="91">
                  <c:v>-139.22817890597503</c:v>
                </c:pt>
                <c:pt idx="92">
                  <c:v>-140.17760561358213</c:v>
                </c:pt>
                <c:pt idx="93">
                  <c:v>-141.15312451463225</c:v>
                </c:pt>
                <c:pt idx="94">
                  <c:v>-142.15446000657838</c:v>
                </c:pt>
                <c:pt idx="95">
                  <c:v>-143.18238259020771</c:v>
                </c:pt>
                <c:pt idx="96">
                  <c:v>-144.23888208983439</c:v>
                </c:pt>
                <c:pt idx="97">
                  <c:v>-145.3273726896382</c:v>
                </c:pt>
                <c:pt idx="98">
                  <c:v>-146.45295813108919</c:v>
                </c:pt>
                <c:pt idx="99">
                  <c:v>-147.62278746485421</c:v>
                </c:pt>
                <c:pt idx="100">
                  <c:v>-148.84653831639761</c:v>
                </c:pt>
                <c:pt idx="101">
                  <c:v>-150.13707709610026</c:v>
                </c:pt>
                <c:pt idx="102">
                  <c:v>-151.51136659306832</c:v>
                </c:pt>
                <c:pt idx="103">
                  <c:v>-152.99172561811898</c:v>
                </c:pt>
                <c:pt idx="104">
                  <c:v>-154.60760070847942</c:v>
                </c:pt>
                <c:pt idx="105">
                  <c:v>-156.39809845172212</c:v>
                </c:pt>
                <c:pt idx="106">
                  <c:v>-158.41566134788957</c:v>
                </c:pt>
                <c:pt idx="107">
                  <c:v>-160.73143090136148</c:v>
                </c:pt>
                <c:pt idx="108">
                  <c:v>-163.44278328310304</c:v>
                </c:pt>
                <c:pt idx="109">
                  <c:v>-166.68165337468037</c:v>
                </c:pt>
                <c:pt idx="110">
                  <c:v>-170.60883975487394</c:v>
                </c:pt>
                <c:pt idx="111">
                  <c:v>-175.29606337008192</c:v>
                </c:pt>
                <c:pt idx="112">
                  <c:v>-180.05640427274696</c:v>
                </c:pt>
                <c:pt idx="113">
                  <c:v>-182.83232605484426</c:v>
                </c:pt>
                <c:pt idx="114">
                  <c:v>-183.97113261347346</c:v>
                </c:pt>
                <c:pt idx="115">
                  <c:v>-184.87313906886132</c:v>
                </c:pt>
                <c:pt idx="116">
                  <c:v>-185.18567676525348</c:v>
                </c:pt>
                <c:pt idx="117">
                  <c:v>-185.58357407092458</c:v>
                </c:pt>
                <c:pt idx="118">
                  <c:v>-187.06056063914298</c:v>
                </c:pt>
                <c:pt idx="119">
                  <c:v>-188.85844089169782</c:v>
                </c:pt>
                <c:pt idx="120">
                  <c:v>-189.97685656820556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70720"/>
        <c:axId val="93872896"/>
      </c:scatterChart>
      <c:valAx>
        <c:axId val="93870720"/>
        <c:scaling>
          <c:logBase val="10"/>
          <c:orientation val="minMax"/>
          <c:min val="0.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 Offset (kHz)</a:t>
                </a:r>
              </a:p>
            </c:rich>
          </c:tx>
          <c:layout>
            <c:manualLayout>
              <c:xMode val="edge"/>
              <c:yMode val="edge"/>
              <c:x val="0.42148791303287575"/>
              <c:y val="0.909413732609848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93872896"/>
        <c:crossesAt val="-160"/>
        <c:crossBetween val="midCat"/>
      </c:valAx>
      <c:valAx>
        <c:axId val="93872896"/>
        <c:scaling>
          <c:orientation val="minMax"/>
          <c:max val="-80"/>
          <c:min val="-1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Phase Noise (dBc/Hz)</a:t>
                </a:r>
              </a:p>
            </c:rich>
          </c:tx>
          <c:layout>
            <c:manualLayout>
              <c:xMode val="edge"/>
              <c:yMode val="edge"/>
              <c:x val="1.8890193738007689E-2"/>
              <c:y val="0.309058699268809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93870720"/>
        <c:crossesAt val="0.1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Open Loop Gain and Phase Margin</a:t>
            </a:r>
          </a:p>
        </c:rich>
      </c:tx>
      <c:layout/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'5thOrderLoop'!$C$95</c:f>
              <c:strCache>
                <c:ptCount val="1"/>
                <c:pt idx="0">
                  <c:v>ol mag dB</c:v>
                </c:pt>
              </c:strCache>
            </c:strRef>
          </c:tx>
          <c:marker>
            <c:symbol val="none"/>
          </c:marker>
          <c:xVal>
            <c:numRef>
              <c:f>'5thOrderLoop'!$B$96:$B$196</c:f>
              <c:numCache>
                <c:formatCode>0.00E+00</c:formatCode>
                <c:ptCount val="101"/>
                <c:pt idx="0">
                  <c:v>100</c:v>
                </c:pt>
                <c:pt idx="1">
                  <c:v>1122.0184543019636</c:v>
                </c:pt>
                <c:pt idx="2">
                  <c:v>1258.9254117941673</c:v>
                </c:pt>
                <c:pt idx="3">
                  <c:v>1412.5375446227545</c:v>
                </c:pt>
                <c:pt idx="4">
                  <c:v>1584.8931924611136</c:v>
                </c:pt>
                <c:pt idx="5">
                  <c:v>1778.2794100389231</c:v>
                </c:pt>
                <c:pt idx="6">
                  <c:v>1995.2623149688798</c:v>
                </c:pt>
                <c:pt idx="7">
                  <c:v>2238.7211385683399</c:v>
                </c:pt>
                <c:pt idx="8">
                  <c:v>2511.8864315095807</c:v>
                </c:pt>
                <c:pt idx="9">
                  <c:v>2818.3829312644539</c:v>
                </c:pt>
                <c:pt idx="10">
                  <c:v>3162.2776601683795</c:v>
                </c:pt>
                <c:pt idx="11">
                  <c:v>3548.1338923357553</c:v>
                </c:pt>
                <c:pt idx="12">
                  <c:v>3981.0717055349728</c:v>
                </c:pt>
                <c:pt idx="13">
                  <c:v>4466.8359215096316</c:v>
                </c:pt>
                <c:pt idx="14">
                  <c:v>5011.8723362727242</c:v>
                </c:pt>
                <c:pt idx="15">
                  <c:v>5623.413251903492</c:v>
                </c:pt>
                <c:pt idx="16">
                  <c:v>6309.5734448019339</c:v>
                </c:pt>
                <c:pt idx="17">
                  <c:v>7079.457843841381</c:v>
                </c:pt>
                <c:pt idx="18">
                  <c:v>7943.2823472428136</c:v>
                </c:pt>
                <c:pt idx="19">
                  <c:v>8912.5093813374569</c:v>
                </c:pt>
                <c:pt idx="20">
                  <c:v>10000</c:v>
                </c:pt>
                <c:pt idx="21">
                  <c:v>11220.184543019635</c:v>
                </c:pt>
                <c:pt idx="22">
                  <c:v>12589.25411794168</c:v>
                </c:pt>
                <c:pt idx="23">
                  <c:v>14125.37544622755</c:v>
                </c:pt>
                <c:pt idx="24">
                  <c:v>15848.931924611137</c:v>
                </c:pt>
                <c:pt idx="25">
                  <c:v>17782.794100389234</c:v>
                </c:pt>
                <c:pt idx="26">
                  <c:v>19952.623149688803</c:v>
                </c:pt>
                <c:pt idx="27">
                  <c:v>22387.211385683404</c:v>
                </c:pt>
                <c:pt idx="28">
                  <c:v>25118.864315095809</c:v>
                </c:pt>
                <c:pt idx="29">
                  <c:v>28183.82931264455</c:v>
                </c:pt>
                <c:pt idx="30">
                  <c:v>31622.776601683803</c:v>
                </c:pt>
                <c:pt idx="31">
                  <c:v>35481.338923357558</c:v>
                </c:pt>
                <c:pt idx="32">
                  <c:v>39810.717055349756</c:v>
                </c:pt>
                <c:pt idx="33">
                  <c:v>44668.359215096345</c:v>
                </c:pt>
                <c:pt idx="34">
                  <c:v>50118.723362727258</c:v>
                </c:pt>
                <c:pt idx="35">
                  <c:v>56234.132519034916</c:v>
                </c:pt>
                <c:pt idx="36">
                  <c:v>63095.734448019306</c:v>
                </c:pt>
                <c:pt idx="37">
                  <c:v>70794.578438413868</c:v>
                </c:pt>
                <c:pt idx="38">
                  <c:v>79432.823472428194</c:v>
                </c:pt>
                <c:pt idx="39">
                  <c:v>89125.093813374639</c:v>
                </c:pt>
                <c:pt idx="40">
                  <c:v>100000</c:v>
                </c:pt>
                <c:pt idx="41">
                  <c:v>112201.84543019635</c:v>
                </c:pt>
                <c:pt idx="42">
                  <c:v>125892.54117941677</c:v>
                </c:pt>
                <c:pt idx="43">
                  <c:v>141253.75446227542</c:v>
                </c:pt>
                <c:pt idx="44">
                  <c:v>158489.31924611152</c:v>
                </c:pt>
                <c:pt idx="45">
                  <c:v>177827.94100389243</c:v>
                </c:pt>
                <c:pt idx="46">
                  <c:v>199526.23149688818</c:v>
                </c:pt>
                <c:pt idx="47">
                  <c:v>223872.11385683392</c:v>
                </c:pt>
                <c:pt idx="48">
                  <c:v>251188.64315095806</c:v>
                </c:pt>
                <c:pt idx="49">
                  <c:v>281838.29312644555</c:v>
                </c:pt>
                <c:pt idx="50">
                  <c:v>316227.76601683826</c:v>
                </c:pt>
                <c:pt idx="51">
                  <c:v>354813.38923357567</c:v>
                </c:pt>
                <c:pt idx="52">
                  <c:v>398107.17055349762</c:v>
                </c:pt>
                <c:pt idx="53">
                  <c:v>446683.59215096373</c:v>
                </c:pt>
                <c:pt idx="54">
                  <c:v>501187.23362727271</c:v>
                </c:pt>
                <c:pt idx="55">
                  <c:v>562341.32519034925</c:v>
                </c:pt>
                <c:pt idx="56">
                  <c:v>630957.3444801938</c:v>
                </c:pt>
                <c:pt idx="57">
                  <c:v>707945.78438413749</c:v>
                </c:pt>
                <c:pt idx="58">
                  <c:v>794328.23472428205</c:v>
                </c:pt>
                <c:pt idx="59">
                  <c:v>891250.9381337458</c:v>
                </c:pt>
                <c:pt idx="60">
                  <c:v>1000000</c:v>
                </c:pt>
                <c:pt idx="61">
                  <c:v>1122018.4543019636</c:v>
                </c:pt>
                <c:pt idx="62">
                  <c:v>1258925.4117941679</c:v>
                </c:pt>
                <c:pt idx="63">
                  <c:v>1412537.5446227544</c:v>
                </c:pt>
                <c:pt idx="64">
                  <c:v>1584893.1924611155</c:v>
                </c:pt>
                <c:pt idx="65">
                  <c:v>1778279.4100389243</c:v>
                </c:pt>
                <c:pt idx="66">
                  <c:v>1995262.3149688824</c:v>
                </c:pt>
                <c:pt idx="67">
                  <c:v>2238721.1385683417</c:v>
                </c:pt>
                <c:pt idx="68">
                  <c:v>2511886.4315095833</c:v>
                </c:pt>
                <c:pt idx="69">
                  <c:v>2818382.9312644536</c:v>
                </c:pt>
                <c:pt idx="70">
                  <c:v>3162277.6601683805</c:v>
                </c:pt>
                <c:pt idx="71">
                  <c:v>3548133.8923357539</c:v>
                </c:pt>
                <c:pt idx="72">
                  <c:v>3981071.7055349699</c:v>
                </c:pt>
                <c:pt idx="73">
                  <c:v>4466835.9215096347</c:v>
                </c:pt>
                <c:pt idx="74">
                  <c:v>5011872.3362727324</c:v>
                </c:pt>
                <c:pt idx="75">
                  <c:v>5623413.2519034995</c:v>
                </c:pt>
                <c:pt idx="76">
                  <c:v>6309573.4448019387</c:v>
                </c:pt>
                <c:pt idx="77">
                  <c:v>7079457.8438413832</c:v>
                </c:pt>
                <c:pt idx="78">
                  <c:v>7943282.3472428303</c:v>
                </c:pt>
                <c:pt idx="79">
                  <c:v>8912509.3813374676</c:v>
                </c:pt>
                <c:pt idx="80">
                  <c:v>10000000</c:v>
                </c:pt>
                <c:pt idx="81">
                  <c:v>11220184.54301966</c:v>
                </c:pt>
                <c:pt idx="82">
                  <c:v>12589254.117941672</c:v>
                </c:pt>
                <c:pt idx="83">
                  <c:v>14125375.446227536</c:v>
                </c:pt>
                <c:pt idx="84">
                  <c:v>15848931.924611146</c:v>
                </c:pt>
                <c:pt idx="85">
                  <c:v>17782794.100389235</c:v>
                </c:pt>
                <c:pt idx="86">
                  <c:v>19952623.149688791</c:v>
                </c:pt>
                <c:pt idx="87">
                  <c:v>22387211.385683384</c:v>
                </c:pt>
                <c:pt idx="88">
                  <c:v>25118864.315095861</c:v>
                </c:pt>
                <c:pt idx="89">
                  <c:v>28183829.312644593</c:v>
                </c:pt>
                <c:pt idx="90">
                  <c:v>31622776.60168384</c:v>
                </c:pt>
                <c:pt idx="91">
                  <c:v>35481338.923357584</c:v>
                </c:pt>
                <c:pt idx="92">
                  <c:v>39810717.055349812</c:v>
                </c:pt>
                <c:pt idx="93">
                  <c:v>44668359.215096392</c:v>
                </c:pt>
                <c:pt idx="94">
                  <c:v>50118723.36272721</c:v>
                </c:pt>
                <c:pt idx="95">
                  <c:v>56234132.519034952</c:v>
                </c:pt>
                <c:pt idx="96">
                  <c:v>63095734.448019341</c:v>
                </c:pt>
                <c:pt idx="97">
                  <c:v>70794578.438413784</c:v>
                </c:pt>
                <c:pt idx="98">
                  <c:v>79432823.472428232</c:v>
                </c:pt>
                <c:pt idx="99">
                  <c:v>89125093.813374609</c:v>
                </c:pt>
                <c:pt idx="100">
                  <c:v>100000000</c:v>
                </c:pt>
              </c:numCache>
            </c:numRef>
          </c:xVal>
          <c:yVal>
            <c:numRef>
              <c:f>'5thOrderLoop'!$C$96:$C$196</c:f>
              <c:numCache>
                <c:formatCode>0.00E+00</c:formatCode>
                <c:ptCount val="101"/>
                <c:pt idx="0">
                  <c:v>127.75647634170596</c:v>
                </c:pt>
                <c:pt idx="1">
                  <c:v>85.757428292400618</c:v>
                </c:pt>
                <c:pt idx="2">
                  <c:v>83.757676714980732</c:v>
                </c:pt>
                <c:pt idx="3">
                  <c:v>81.75798943975623</c:v>
                </c:pt>
                <c:pt idx="4">
                  <c:v>79.758383104083407</c:v>
                </c:pt>
                <c:pt idx="5">
                  <c:v>77.758878646071039</c:v>
                </c:pt>
                <c:pt idx="6">
                  <c:v>75.759502414017334</c:v>
                </c:pt>
                <c:pt idx="7">
                  <c:v>73.76028756069303</c:v>
                </c:pt>
                <c:pt idx="8">
                  <c:v>71.761275794817038</c:v>
                </c:pt>
                <c:pt idx="9">
                  <c:v>69.762519579984442</c:v>
                </c:pt>
                <c:pt idx="10">
                  <c:v>67.764084893383895</c:v>
                </c:pt>
                <c:pt idx="11">
                  <c:v>65.766054683689774</c:v>
                </c:pt>
                <c:pt idx="12">
                  <c:v>63.768533200389513</c:v>
                </c:pt>
                <c:pt idx="13">
                  <c:v>61.771651406352674</c:v>
                </c:pt>
                <c:pt idx="14">
                  <c:v>59.77557373234778</c:v>
                </c:pt>
                <c:pt idx="15">
                  <c:v>57.780506486755201</c:v>
                </c:pt>
                <c:pt idx="16">
                  <c:v>55.78670829539594</c:v>
                </c:pt>
                <c:pt idx="17">
                  <c:v>53.794503013231065</c:v>
                </c:pt>
                <c:pt idx="18">
                  <c:v>51.804295617240975</c:v>
                </c:pt>
                <c:pt idx="19">
                  <c:v>49.816591649612711</c:v>
                </c:pt>
                <c:pt idx="20">
                  <c:v>47.832020817729699</c:v>
                </c:pt>
                <c:pt idx="21">
                  <c:v>45.851365348290699</c:v>
                </c:pt>
                <c:pt idx="22">
                  <c:v>43.875593599717803</c:v>
                </c:pt>
                <c:pt idx="23">
                  <c:v>41.905899204341623</c:v>
                </c:pt>
                <c:pt idx="24">
                  <c:v>39.943745561880128</c:v>
                </c:pt>
                <c:pt idx="25">
                  <c:v>37.990914736921162</c:v>
                </c:pt>
                <c:pt idx="26">
                  <c:v>36.049558606360137</c:v>
                </c:pt>
                <c:pt idx="27">
                  <c:v>34.122248343164415</c:v>
                </c:pt>
                <c:pt idx="28">
                  <c:v>32.212015948875802</c:v>
                </c:pt>
                <c:pt idx="29">
                  <c:v>30.322378639250282</c:v>
                </c:pt>
                <c:pt idx="30">
                  <c:v>28.457333799833719</c:v>
                </c:pt>
                <c:pt idx="31">
                  <c:v>26.621309742883724</c:v>
                </c:pt>
                <c:pt idx="32">
                  <c:v>24.81905692042902</c:v>
                </c:pt>
                <c:pt idx="33">
                  <c:v>23.055467303310991</c:v>
                </c:pt>
                <c:pt idx="34">
                  <c:v>21.335317955562299</c:v>
                </c:pt>
                <c:pt idx="35">
                  <c:v>19.662948959233091</c:v>
                </c:pt>
                <c:pt idx="36">
                  <c:v>18.041903979277947</c:v>
                </c:pt>
                <c:pt idx="37">
                  <c:v>16.474579046144232</c:v>
                </c:pt>
                <c:pt idx="38">
                  <c:v>14.961934544968599</c:v>
                </c:pt>
                <c:pt idx="39">
                  <c:v>13.503320691307273</c:v>
                </c:pt>
                <c:pt idx="40">
                  <c:v>12.096446385503437</c:v>
                </c:pt>
                <c:pt idx="41">
                  <c:v>10.737490580559912</c:v>
                </c:pt>
                <c:pt idx="42">
                  <c:v>9.421324609557411</c:v>
                </c:pt>
                <c:pt idx="43">
                  <c:v>8.1417937628839745</c:v>
                </c:pt>
                <c:pt idx="44">
                  <c:v>6.8920021675323806</c:v>
                </c:pt>
                <c:pt idx="45">
                  <c:v>5.6645552525805467</c:v>
                </c:pt>
                <c:pt idx="46">
                  <c:v>4.4517326719172381</c:v>
                </c:pt>
                <c:pt idx="47">
                  <c:v>3.245584587706527</c:v>
                </c:pt>
                <c:pt idx="48">
                  <c:v>2.037960904798322</c:v>
                </c:pt>
                <c:pt idx="49">
                  <c:v>0.82049450934772183</c:v>
                </c:pt>
                <c:pt idx="50">
                  <c:v>-0.41543401066768632</c:v>
                </c:pt>
                <c:pt idx="51">
                  <c:v>-1.6787204476837079</c:v>
                </c:pt>
                <c:pt idx="52">
                  <c:v>-2.978521653100064</c:v>
                </c:pt>
                <c:pt idx="53">
                  <c:v>-4.3241781898627272</c:v>
                </c:pt>
                <c:pt idx="54">
                  <c:v>-5.7250626456976139</c:v>
                </c:pt>
                <c:pt idx="55">
                  <c:v>-7.1903561908045477</c:v>
                </c:pt>
                <c:pt idx="56">
                  <c:v>-8.7287732508414955</c:v>
                </c:pt>
                <c:pt idx="57">
                  <c:v>-10.34826907018693</c:v>
                </c:pt>
                <c:pt idx="58">
                  <c:v>-12.05577139804298</c:v>
                </c:pt>
                <c:pt idx="59">
                  <c:v>-13.856971422003642</c:v>
                </c:pt>
                <c:pt idx="60">
                  <c:v>-15.756191774587428</c:v>
                </c:pt>
                <c:pt idx="61">
                  <c:v>-17.756328732095568</c:v>
                </c:pt>
                <c:pt idx="62">
                  <c:v>-19.858852211732266</c:v>
                </c:pt>
                <c:pt idx="63">
                  <c:v>-22.063847719852969</c:v>
                </c:pt>
                <c:pt idx="64">
                  <c:v>-24.370097200456826</c:v>
                </c:pt>
                <c:pt idx="65">
                  <c:v>-26.775210954131104</c:v>
                </c:pt>
                <c:pt idx="66">
                  <c:v>-29.27582883685869</c:v>
                </c:pt>
                <c:pt idx="67">
                  <c:v>-31.867899903272882</c:v>
                </c:pt>
                <c:pt idx="68">
                  <c:v>-34.54702880256972</c:v>
                </c:pt>
                <c:pt idx="69">
                  <c:v>-37.308854316574326</c:v>
                </c:pt>
                <c:pt idx="70">
                  <c:v>-40.149410313742223</c:v>
                </c:pt>
                <c:pt idx="71">
                  <c:v>-43.065416879218425</c:v>
                </c:pt>
                <c:pt idx="72">
                  <c:v>-46.054458326495137</c:v>
                </c:pt>
                <c:pt idx="73">
                  <c:v>-49.115020915878929</c:v>
                </c:pt>
                <c:pt idx="74">
                  <c:v>-52.246382449273796</c:v>
                </c:pt>
                <c:pt idx="75">
                  <c:v>-55.448366449940252</c:v>
                </c:pt>
                <c:pt idx="76">
                  <c:v>-58.720994394586569</c:v>
                </c:pt>
                <c:pt idx="77">
                  <c:v>-62.064088444735731</c:v>
                </c:pt>
                <c:pt idx="78">
                  <c:v>-65.476889987162593</c:v>
                </c:pt>
                <c:pt idx="79">
                  <c:v>-68.95776034727777</c:v>
                </c:pt>
                <c:pt idx="80">
                  <c:v>-72.504015519312787</c:v>
                </c:pt>
                <c:pt idx="81">
                  <c:v>-76.111918368760087</c:v>
                </c:pt>
                <c:pt idx="82">
                  <c:v>-79.776817526675472</c:v>
                </c:pt>
                <c:pt idx="83">
                  <c:v>-83.493393202550706</c:v>
                </c:pt>
                <c:pt idx="84">
                  <c:v>-87.255955066600251</c:v>
                </c:pt>
                <c:pt idx="85">
                  <c:v>-91.058738501714998</c:v>
                </c:pt>
                <c:pt idx="86">
                  <c:v>-94.896158863321773</c:v>
                </c:pt>
                <c:pt idx="87">
                  <c:v>-98.76300177769042</c:v>
                </c:pt>
                <c:pt idx="88">
                  <c:v>-102.65454449789436</c:v>
                </c:pt>
                <c:pt idx="89">
                  <c:v>-106.56661527554883</c:v>
                </c:pt>
                <c:pt idx="90">
                  <c:v>-110.49560386493992</c:v>
                </c:pt>
                <c:pt idx="91">
                  <c:v>-114.43843777248902</c:v>
                </c:pt>
                <c:pt idx="92">
                  <c:v>-118.39253745201263</c:v>
                </c:pt>
                <c:pt idx="93">
                  <c:v>-122.3557609074799</c:v>
                </c:pt>
                <c:pt idx="94">
                  <c:v>-126.32634518776121</c:v>
                </c:pt>
                <c:pt idx="95">
                  <c:v>-130.30284963219228</c:v>
                </c:pt>
                <c:pt idx="96">
                  <c:v>-134.28410367707349</c:v>
                </c:pt>
                <c:pt idx="97">
                  <c:v>-138.26916057195743</c:v>
                </c:pt>
                <c:pt idx="98">
                  <c:v>-142.25725739102535</c:v>
                </c:pt>
                <c:pt idx="99">
                  <c:v>-146.24778114008888</c:v>
                </c:pt>
                <c:pt idx="100">
                  <c:v>-150.24024044190446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'5thOrderLoop'!$D$95</c:f>
              <c:strCache>
                <c:ptCount val="1"/>
                <c:pt idx="0">
                  <c:v>phase margin deg</c:v>
                </c:pt>
              </c:strCache>
            </c:strRef>
          </c:tx>
          <c:marker>
            <c:symbol val="none"/>
          </c:marker>
          <c:xVal>
            <c:numRef>
              <c:f>'5thOrderLoop'!$B$96:$B$196</c:f>
              <c:numCache>
                <c:formatCode>0.00E+00</c:formatCode>
                <c:ptCount val="101"/>
                <c:pt idx="0">
                  <c:v>100</c:v>
                </c:pt>
                <c:pt idx="1">
                  <c:v>1122.0184543019636</c:v>
                </c:pt>
                <c:pt idx="2">
                  <c:v>1258.9254117941673</c:v>
                </c:pt>
                <c:pt idx="3">
                  <c:v>1412.5375446227545</c:v>
                </c:pt>
                <c:pt idx="4">
                  <c:v>1584.8931924611136</c:v>
                </c:pt>
                <c:pt idx="5">
                  <c:v>1778.2794100389231</c:v>
                </c:pt>
                <c:pt idx="6">
                  <c:v>1995.2623149688798</c:v>
                </c:pt>
                <c:pt idx="7">
                  <c:v>2238.7211385683399</c:v>
                </c:pt>
                <c:pt idx="8">
                  <c:v>2511.8864315095807</c:v>
                </c:pt>
                <c:pt idx="9">
                  <c:v>2818.3829312644539</c:v>
                </c:pt>
                <c:pt idx="10">
                  <c:v>3162.2776601683795</c:v>
                </c:pt>
                <c:pt idx="11">
                  <c:v>3548.1338923357553</c:v>
                </c:pt>
                <c:pt idx="12">
                  <c:v>3981.0717055349728</c:v>
                </c:pt>
                <c:pt idx="13">
                  <c:v>4466.8359215096316</c:v>
                </c:pt>
                <c:pt idx="14">
                  <c:v>5011.8723362727242</c:v>
                </c:pt>
                <c:pt idx="15">
                  <c:v>5623.413251903492</c:v>
                </c:pt>
                <c:pt idx="16">
                  <c:v>6309.5734448019339</c:v>
                </c:pt>
                <c:pt idx="17">
                  <c:v>7079.457843841381</c:v>
                </c:pt>
                <c:pt idx="18">
                  <c:v>7943.2823472428136</c:v>
                </c:pt>
                <c:pt idx="19">
                  <c:v>8912.5093813374569</c:v>
                </c:pt>
                <c:pt idx="20">
                  <c:v>10000</c:v>
                </c:pt>
                <c:pt idx="21">
                  <c:v>11220.184543019635</c:v>
                </c:pt>
                <c:pt idx="22">
                  <c:v>12589.25411794168</c:v>
                </c:pt>
                <c:pt idx="23">
                  <c:v>14125.37544622755</c:v>
                </c:pt>
                <c:pt idx="24">
                  <c:v>15848.931924611137</c:v>
                </c:pt>
                <c:pt idx="25">
                  <c:v>17782.794100389234</c:v>
                </c:pt>
                <c:pt idx="26">
                  <c:v>19952.623149688803</c:v>
                </c:pt>
                <c:pt idx="27">
                  <c:v>22387.211385683404</c:v>
                </c:pt>
                <c:pt idx="28">
                  <c:v>25118.864315095809</c:v>
                </c:pt>
                <c:pt idx="29">
                  <c:v>28183.82931264455</c:v>
                </c:pt>
                <c:pt idx="30">
                  <c:v>31622.776601683803</c:v>
                </c:pt>
                <c:pt idx="31">
                  <c:v>35481.338923357558</c:v>
                </c:pt>
                <c:pt idx="32">
                  <c:v>39810.717055349756</c:v>
                </c:pt>
                <c:pt idx="33">
                  <c:v>44668.359215096345</c:v>
                </c:pt>
                <c:pt idx="34">
                  <c:v>50118.723362727258</c:v>
                </c:pt>
                <c:pt idx="35">
                  <c:v>56234.132519034916</c:v>
                </c:pt>
                <c:pt idx="36">
                  <c:v>63095.734448019306</c:v>
                </c:pt>
                <c:pt idx="37">
                  <c:v>70794.578438413868</c:v>
                </c:pt>
                <c:pt idx="38">
                  <c:v>79432.823472428194</c:v>
                </c:pt>
                <c:pt idx="39">
                  <c:v>89125.093813374639</c:v>
                </c:pt>
                <c:pt idx="40">
                  <c:v>100000</c:v>
                </c:pt>
                <c:pt idx="41">
                  <c:v>112201.84543019635</c:v>
                </c:pt>
                <c:pt idx="42">
                  <c:v>125892.54117941677</c:v>
                </c:pt>
                <c:pt idx="43">
                  <c:v>141253.75446227542</c:v>
                </c:pt>
                <c:pt idx="44">
                  <c:v>158489.31924611152</c:v>
                </c:pt>
                <c:pt idx="45">
                  <c:v>177827.94100389243</c:v>
                </c:pt>
                <c:pt idx="46">
                  <c:v>199526.23149688818</c:v>
                </c:pt>
                <c:pt idx="47">
                  <c:v>223872.11385683392</c:v>
                </c:pt>
                <c:pt idx="48">
                  <c:v>251188.64315095806</c:v>
                </c:pt>
                <c:pt idx="49">
                  <c:v>281838.29312644555</c:v>
                </c:pt>
                <c:pt idx="50">
                  <c:v>316227.76601683826</c:v>
                </c:pt>
                <c:pt idx="51">
                  <c:v>354813.38923357567</c:v>
                </c:pt>
                <c:pt idx="52">
                  <c:v>398107.17055349762</c:v>
                </c:pt>
                <c:pt idx="53">
                  <c:v>446683.59215096373</c:v>
                </c:pt>
                <c:pt idx="54">
                  <c:v>501187.23362727271</c:v>
                </c:pt>
                <c:pt idx="55">
                  <c:v>562341.32519034925</c:v>
                </c:pt>
                <c:pt idx="56">
                  <c:v>630957.3444801938</c:v>
                </c:pt>
                <c:pt idx="57">
                  <c:v>707945.78438413749</c:v>
                </c:pt>
                <c:pt idx="58">
                  <c:v>794328.23472428205</c:v>
                </c:pt>
                <c:pt idx="59">
                  <c:v>891250.9381337458</c:v>
                </c:pt>
                <c:pt idx="60">
                  <c:v>1000000</c:v>
                </c:pt>
                <c:pt idx="61">
                  <c:v>1122018.4543019636</c:v>
                </c:pt>
                <c:pt idx="62">
                  <c:v>1258925.4117941679</c:v>
                </c:pt>
                <c:pt idx="63">
                  <c:v>1412537.5446227544</c:v>
                </c:pt>
                <c:pt idx="64">
                  <c:v>1584893.1924611155</c:v>
                </c:pt>
                <c:pt idx="65">
                  <c:v>1778279.4100389243</c:v>
                </c:pt>
                <c:pt idx="66">
                  <c:v>1995262.3149688824</c:v>
                </c:pt>
                <c:pt idx="67">
                  <c:v>2238721.1385683417</c:v>
                </c:pt>
                <c:pt idx="68">
                  <c:v>2511886.4315095833</c:v>
                </c:pt>
                <c:pt idx="69">
                  <c:v>2818382.9312644536</c:v>
                </c:pt>
                <c:pt idx="70">
                  <c:v>3162277.6601683805</c:v>
                </c:pt>
                <c:pt idx="71">
                  <c:v>3548133.8923357539</c:v>
                </c:pt>
                <c:pt idx="72">
                  <c:v>3981071.7055349699</c:v>
                </c:pt>
                <c:pt idx="73">
                  <c:v>4466835.9215096347</c:v>
                </c:pt>
                <c:pt idx="74">
                  <c:v>5011872.3362727324</c:v>
                </c:pt>
                <c:pt idx="75">
                  <c:v>5623413.2519034995</c:v>
                </c:pt>
                <c:pt idx="76">
                  <c:v>6309573.4448019387</c:v>
                </c:pt>
                <c:pt idx="77">
                  <c:v>7079457.8438413832</c:v>
                </c:pt>
                <c:pt idx="78">
                  <c:v>7943282.3472428303</c:v>
                </c:pt>
                <c:pt idx="79">
                  <c:v>8912509.3813374676</c:v>
                </c:pt>
                <c:pt idx="80">
                  <c:v>10000000</c:v>
                </c:pt>
                <c:pt idx="81">
                  <c:v>11220184.54301966</c:v>
                </c:pt>
                <c:pt idx="82">
                  <c:v>12589254.117941672</c:v>
                </c:pt>
                <c:pt idx="83">
                  <c:v>14125375.446227536</c:v>
                </c:pt>
                <c:pt idx="84">
                  <c:v>15848931.924611146</c:v>
                </c:pt>
                <c:pt idx="85">
                  <c:v>17782794.100389235</c:v>
                </c:pt>
                <c:pt idx="86">
                  <c:v>19952623.149688791</c:v>
                </c:pt>
                <c:pt idx="87">
                  <c:v>22387211.385683384</c:v>
                </c:pt>
                <c:pt idx="88">
                  <c:v>25118864.315095861</c:v>
                </c:pt>
                <c:pt idx="89">
                  <c:v>28183829.312644593</c:v>
                </c:pt>
                <c:pt idx="90">
                  <c:v>31622776.60168384</c:v>
                </c:pt>
                <c:pt idx="91">
                  <c:v>35481338.923357584</c:v>
                </c:pt>
                <c:pt idx="92">
                  <c:v>39810717.055349812</c:v>
                </c:pt>
                <c:pt idx="93">
                  <c:v>44668359.215096392</c:v>
                </c:pt>
                <c:pt idx="94">
                  <c:v>50118723.36272721</c:v>
                </c:pt>
                <c:pt idx="95">
                  <c:v>56234132.519034952</c:v>
                </c:pt>
                <c:pt idx="96">
                  <c:v>63095734.448019341</c:v>
                </c:pt>
                <c:pt idx="97">
                  <c:v>70794578.438413784</c:v>
                </c:pt>
                <c:pt idx="98">
                  <c:v>79432823.472428232</c:v>
                </c:pt>
                <c:pt idx="99">
                  <c:v>89125093.813374609</c:v>
                </c:pt>
                <c:pt idx="100">
                  <c:v>100000000</c:v>
                </c:pt>
              </c:numCache>
            </c:numRef>
          </c:xVal>
          <c:yVal>
            <c:numRef>
              <c:f>'5thOrderLoop'!$D$96:$D$196</c:f>
              <c:numCache>
                <c:formatCode>0.00E+00</c:formatCode>
                <c:ptCount val="101"/>
                <c:pt idx="0">
                  <c:v>6.5750943916432325E-2</c:v>
                </c:pt>
                <c:pt idx="1">
                  <c:v>0.7376743345784903</c:v>
                </c:pt>
                <c:pt idx="2">
                  <c:v>0.82766565630956357</c:v>
                </c:pt>
                <c:pt idx="3">
                  <c:v>0.92862992523645604</c:v>
                </c:pt>
                <c:pt idx="4">
                  <c:v>1.0419028871325373</c:v>
                </c:pt>
                <c:pt idx="5">
                  <c:v>1.1689819725672039</c:v>
                </c:pt>
                <c:pt idx="6">
                  <c:v>1.3115454897592547</c:v>
                </c:pt>
                <c:pt idx="7">
                  <c:v>1.4714739390795262</c:v>
                </c:pt>
                <c:pt idx="8">
                  <c:v>1.6508736178136123</c:v>
                </c:pt>
                <c:pt idx="9">
                  <c:v>1.8521026675830425</c:v>
                </c:pt>
                <c:pt idx="10">
                  <c:v>2.0777996838078217</c:v>
                </c:pt>
                <c:pt idx="11">
                  <c:v>2.3309149488792391</c:v>
                </c:pt>
                <c:pt idx="12">
                  <c:v>2.6147442572362327</c:v>
                </c:pt>
                <c:pt idx="13">
                  <c:v>2.9329651559327732</c:v>
                </c:pt>
                <c:pt idx="14">
                  <c:v>3.2896752074038162</c:v>
                </c:pt>
                <c:pt idx="15">
                  <c:v>3.6894315632303951</c:v>
                </c:pt>
                <c:pt idx="16">
                  <c:v>4.1372906802335612</c:v>
                </c:pt>
                <c:pt idx="17">
                  <c:v>4.6388463625132559</c:v>
                </c:pt>
                <c:pt idx="18">
                  <c:v>5.2002634101406722</c:v>
                </c:pt>
                <c:pt idx="19">
                  <c:v>5.8283029168761722</c:v>
                </c:pt>
                <c:pt idx="20">
                  <c:v>6.5303335918134664</c:v>
                </c:pt>
                <c:pt idx="21">
                  <c:v>7.3143212837490044</c:v>
                </c:pt>
                <c:pt idx="22">
                  <c:v>8.1887860756538977</c:v>
                </c:pt>
                <c:pt idx="23">
                  <c:v>9.1627128532918132</c:v>
                </c:pt>
                <c:pt idx="24">
                  <c:v>10.245397217076064</c:v>
                </c:pt>
                <c:pt idx="25">
                  <c:v>11.446204305891404</c:v>
                </c:pt>
                <c:pt idx="26">
                  <c:v>12.774214229030145</c:v>
                </c:pt>
                <c:pt idx="27">
                  <c:v>14.237725646209723</c:v>
                </c:pt>
                <c:pt idx="28">
                  <c:v>15.843590692626474</c:v>
                </c:pt>
                <c:pt idx="29">
                  <c:v>17.596362920796576</c:v>
                </c:pt>
                <c:pt idx="30">
                  <c:v>19.497258890917792</c:v>
                </c:pt>
                <c:pt idx="31">
                  <c:v>21.542966877231908</c:v>
                </c:pt>
                <c:pt idx="32">
                  <c:v>23.724383997592817</c:v>
                </c:pt>
                <c:pt idx="33">
                  <c:v>26.025421742353991</c:v>
                </c:pt>
                <c:pt idx="34">
                  <c:v>28.422076725216392</c:v>
                </c:pt>
                <c:pt idx="35">
                  <c:v>30.881996421764239</c:v>
                </c:pt>
                <c:pt idx="36">
                  <c:v>33.364751786823518</c:v>
                </c:pt>
                <c:pt idx="37">
                  <c:v>35.822940258612476</c:v>
                </c:pt>
                <c:pt idx="38">
                  <c:v>38.204087488791053</c:v>
                </c:pt>
                <c:pt idx="39">
                  <c:v>40.453131399989275</c:v>
                </c:pt>
                <c:pt idx="40">
                  <c:v>42.515120664015662</c:v>
                </c:pt>
                <c:pt idx="41">
                  <c:v>44.337701883242474</c:v>
                </c:pt>
                <c:pt idx="42">
                  <c:v>45.873030856212999</c:v>
                </c:pt>
                <c:pt idx="43">
                  <c:v>47.078898491103757</c:v>
                </c:pt>
                <c:pt idx="44">
                  <c:v>47.919051023141819</c:v>
                </c:pt>
                <c:pt idx="45">
                  <c:v>48.362844542935854</c:v>
                </c:pt>
                <c:pt idx="46">
                  <c:v>48.384468200967618</c:v>
                </c:pt>
                <c:pt idx="47">
                  <c:v>47.961994818888101</c:v>
                </c:pt>
                <c:pt idx="48">
                  <c:v>47.076491035295938</c:v>
                </c:pt>
                <c:pt idx="49">
                  <c:v>45.711367167017407</c:v>
                </c:pt>
                <c:pt idx="50">
                  <c:v>43.852089577946565</c:v>
                </c:pt>
                <c:pt idx="51">
                  <c:v>41.486324935870975</c:v>
                </c:pt>
                <c:pt idx="52">
                  <c:v>38.604536382989401</c:v>
                </c:pt>
                <c:pt idx="53">
                  <c:v>35.20100115684928</c:v>
                </c:pt>
                <c:pt idx="54">
                  <c:v>31.275162097902111</c:v>
                </c:pt>
                <c:pt idx="55">
                  <c:v>26.833160958559795</c:v>
                </c:pt>
                <c:pt idx="56">
                  <c:v>21.889337320720021</c:v>
                </c:pt>
                <c:pt idx="57">
                  <c:v>16.467430774876032</c:v>
                </c:pt>
                <c:pt idx="58">
                  <c:v>10.601218613832463</c:v>
                </c:pt>
                <c:pt idx="59">
                  <c:v>4.3343738737044264</c:v>
                </c:pt>
                <c:pt idx="60">
                  <c:v>-2.2805622450749761</c:v>
                </c:pt>
                <c:pt idx="61">
                  <c:v>-9.1840592452740353</c:v>
                </c:pt>
                <c:pt idx="62">
                  <c:v>-16.312161273605312</c:v>
                </c:pt>
                <c:pt idx="63">
                  <c:v>-23.599477607692421</c:v>
                </c:pt>
                <c:pt idx="64">
                  <c:v>-30.98229421992222</c:v>
                </c:pt>
                <c:pt idx="65">
                  <c:v>-38.401484747022558</c:v>
                </c:pt>
                <c:pt idx="66">
                  <c:v>-45.804901709198901</c:v>
                </c:pt>
                <c:pt idx="67">
                  <c:v>-53.148958044413355</c:v>
                </c:pt>
                <c:pt idx="68">
                  <c:v>-60.399185969285355</c:v>
                </c:pt>
                <c:pt idx="69">
                  <c:v>-67.529694812726703</c:v>
                </c:pt>
                <c:pt idx="70">
                  <c:v>-74.521624222307082</c:v>
                </c:pt>
                <c:pt idx="71">
                  <c:v>-81.360864638504054</c:v>
                </c:pt>
                <c:pt idx="72">
                  <c:v>-88.035451364269392</c:v>
                </c:pt>
                <c:pt idx="73">
                  <c:v>-94.533102481894687</c:v>
                </c:pt>
                <c:pt idx="74">
                  <c:v>-100.83934956052124</c:v>
                </c:pt>
                <c:pt idx="75">
                  <c:v>-106.93660060211741</c:v>
                </c:pt>
                <c:pt idx="76">
                  <c:v>-112.80428794421398</c:v>
                </c:pt>
                <c:pt idx="77">
                  <c:v>-118.42002250970617</c:v>
                </c:pt>
                <c:pt idx="78">
                  <c:v>-123.76145646055676</c:v>
                </c:pt>
                <c:pt idx="79">
                  <c:v>-128.808414654041</c:v>
                </c:pt>
                <c:pt idx="80">
                  <c:v>-133.54483649435414</c:v>
                </c:pt>
                <c:pt idx="81">
                  <c:v>-137.96017320784517</c:v>
                </c:pt>
                <c:pt idx="82">
                  <c:v>-142.05006400641898</c:v>
                </c:pt>
                <c:pt idx="83">
                  <c:v>-145.81629970158113</c:v>
                </c:pt>
                <c:pt idx="84">
                  <c:v>-149.26621818088418</c:v>
                </c:pt>
                <c:pt idx="85">
                  <c:v>-152.41173926214009</c:v>
                </c:pt>
                <c:pt idx="86">
                  <c:v>-155.26824458893779</c:v>
                </c:pt>
                <c:pt idx="87">
                  <c:v>-157.8534660244911</c:v>
                </c:pt>
                <c:pt idx="88">
                  <c:v>-160.18648940632679</c:v>
                </c:pt>
                <c:pt idx="89">
                  <c:v>-162.28692789952876</c:v>
                </c:pt>
                <c:pt idx="90">
                  <c:v>-164.17427939985771</c:v>
                </c:pt>
                <c:pt idx="91">
                  <c:v>-165.86745712618961</c:v>
                </c:pt>
                <c:pt idx="92">
                  <c:v>-167.38446941369796</c:v>
                </c:pt>
                <c:pt idx="93">
                  <c:v>-168.74222018876679</c:v>
                </c:pt>
                <c:pt idx="94">
                  <c:v>-169.95640230030907</c:v>
                </c:pt>
                <c:pt idx="95">
                  <c:v>-171.04145923786126</c:v>
                </c:pt>
                <c:pt idx="96">
                  <c:v>-172.01059509856466</c:v>
                </c:pt>
                <c:pt idx="97">
                  <c:v>-172.87581699749168</c:v>
                </c:pt>
                <c:pt idx="98">
                  <c:v>-173.64799796668717</c:v>
                </c:pt>
                <c:pt idx="99">
                  <c:v>-174.33695158082153</c:v>
                </c:pt>
                <c:pt idx="100">
                  <c:v>-174.9515120731572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935488"/>
        <c:axId val="93937024"/>
      </c:scatterChart>
      <c:valAx>
        <c:axId val="93935488"/>
        <c:scaling>
          <c:logBase val="10"/>
          <c:orientation val="minMax"/>
          <c:min val="100"/>
        </c:scaling>
        <c:delete val="0"/>
        <c:axPos val="b"/>
        <c:numFmt formatCode="0.E+00" sourceLinked="0"/>
        <c:majorTickMark val="out"/>
        <c:minorTickMark val="none"/>
        <c:tickLblPos val="nextTo"/>
        <c:crossAx val="93937024"/>
        <c:crossesAt val="-200"/>
        <c:crossBetween val="midCat"/>
      </c:valAx>
      <c:valAx>
        <c:axId val="93937024"/>
        <c:scaling>
          <c:orientation val="minMax"/>
        </c:scaling>
        <c:delete val="0"/>
        <c:axPos val="l"/>
        <c:majorGridlines/>
        <c:numFmt formatCode="General" sourceLinked="0"/>
        <c:majorTickMark val="out"/>
        <c:minorTickMark val="none"/>
        <c:tickLblPos val="nextTo"/>
        <c:crossAx val="93935488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="1"/>
              <a:t>Closed Loop Phase Noise at VCO Output</a:t>
            </a:r>
          </a:p>
        </c:rich>
      </c:tx>
      <c:layout>
        <c:manualLayout>
          <c:xMode val="edge"/>
          <c:yMode val="edge"/>
          <c:x val="0.22904388785142688"/>
          <c:y val="2.84191678112774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92807503509343"/>
          <c:y val="0.16341030195381884"/>
          <c:w val="0.78512441955316759"/>
          <c:h val="0.6660746003552398"/>
        </c:manualLayout>
      </c:layout>
      <c:scatterChart>
        <c:scatterStyle val="smoothMarker"/>
        <c:varyColors val="0"/>
        <c:ser>
          <c:idx val="2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'5thOrderClosedLoopPhaseNoise'!$AK$8:$AK$128</c:f>
              <c:numCache>
                <c:formatCode>0.00</c:formatCode>
                <c:ptCount val="121"/>
                <c:pt idx="0">
                  <c:v>-90.148257547123848</c:v>
                </c:pt>
                <c:pt idx="1">
                  <c:v>-90.678806847094279</c:v>
                </c:pt>
                <c:pt idx="2">
                  <c:v>-91.207832158384662</c:v>
                </c:pt>
                <c:pt idx="3">
                  <c:v>-91.735336986829893</c:v>
                </c:pt>
                <c:pt idx="4">
                  <c:v>-92.261320026975937</c:v>
                </c:pt>
                <c:pt idx="5">
                  <c:v>-92.785774616808027</c:v>
                </c:pt>
                <c:pt idx="6">
                  <c:v>-93.308688141637631</c:v>
                </c:pt>
                <c:pt idx="7">
                  <c:v>-93.830041381761603</c:v>
                </c:pt>
                <c:pt idx="8">
                  <c:v>-94.349807798229804</c:v>
                </c:pt>
                <c:pt idx="9">
                  <c:v>-94.867952750840686</c:v>
                </c:pt>
                <c:pt idx="10">
                  <c:v>-95.384432642349495</c:v>
                </c:pt>
                <c:pt idx="11">
                  <c:v>-95.899193982858591</c:v>
                </c:pt>
                <c:pt idx="12">
                  <c:v>-96.412172368498489</c:v>
                </c:pt>
                <c:pt idx="13">
                  <c:v>-96.923291368846833</c:v>
                </c:pt>
                <c:pt idx="14">
                  <c:v>-97.432461318136987</c:v>
                </c:pt>
                <c:pt idx="15">
                  <c:v>-97.939578006227279</c:v>
                </c:pt>
                <c:pt idx="16">
                  <c:v>-98.444521266629081</c:v>
                </c:pt>
                <c:pt idx="17">
                  <c:v>-98.947153460694622</c:v>
                </c:pt>
                <c:pt idx="18">
                  <c:v>-99.447317859443501</c:v>
                </c:pt>
                <c:pt idx="19">
                  <c:v>-99.94483692754514</c:v>
                </c:pt>
                <c:pt idx="20">
                  <c:v>-100.43951051775871</c:v>
                </c:pt>
                <c:pt idx="21">
                  <c:v>-100.96612789463494</c:v>
                </c:pt>
                <c:pt idx="22">
                  <c:v>-101.48232866281332</c:v>
                </c:pt>
                <c:pt idx="23">
                  <c:v>-101.98889599743295</c:v>
                </c:pt>
                <c:pt idx="24">
                  <c:v>-102.48644676419565</c:v>
                </c:pt>
                <c:pt idx="25">
                  <c:v>-102.97544198446077</c:v>
                </c:pt>
                <c:pt idx="26">
                  <c:v>-103.45619782171724</c:v>
                </c:pt>
                <c:pt idx="27">
                  <c:v>-103.92889651965586</c:v>
                </c:pt>
                <c:pt idx="28">
                  <c:v>-104.39359693652705</c:v>
                </c:pt>
                <c:pt idx="29">
                  <c:v>-104.85024448521172</c:v>
                </c:pt>
                <c:pt idx="30">
                  <c:v>-105.29868040745576</c:v>
                </c:pt>
                <c:pt idx="31">
                  <c:v>-105.73865038935317</c:v>
                </c:pt>
                <c:pt idx="32">
                  <c:v>-106.16981256864827</c:v>
                </c:pt>
                <c:pt idx="33">
                  <c:v>-106.59174499723935</c:v>
                </c:pt>
                <c:pt idx="34">
                  <c:v>-107.00395260806026</c:v>
                </c:pt>
                <c:pt idx="35">
                  <c:v>-107.40587369746841</c:v>
                </c:pt>
                <c:pt idx="36">
                  <c:v>-107.79688587581541</c:v>
                </c:pt>
                <c:pt idx="37">
                  <c:v>-108.17631136472701</c:v>
                </c:pt>
                <c:pt idx="38">
                  <c:v>-108.54342143712981</c:v>
                </c:pt>
                <c:pt idx="39">
                  <c:v>-108.89743971687636</c:v>
                </c:pt>
                <c:pt idx="40">
                  <c:v>-109.23754399690047</c:v>
                </c:pt>
                <c:pt idx="41">
                  <c:v>-109.56085769687118</c:v>
                </c:pt>
                <c:pt idx="42">
                  <c:v>-109.86870655587191</c:v>
                </c:pt>
                <c:pt idx="43">
                  <c:v>-110.1600825043799</c:v>
                </c:pt>
                <c:pt idx="44">
                  <c:v>-110.43392641236144</c:v>
                </c:pt>
                <c:pt idx="45">
                  <c:v>-110.68912002224084</c:v>
                </c:pt>
                <c:pt idx="46">
                  <c:v>-110.92447924563004</c:v>
                </c:pt>
                <c:pt idx="47">
                  <c:v>-111.1387522120836</c:v>
                </c:pt>
                <c:pt idx="48">
                  <c:v>-111.33062715426658</c:v>
                </c:pt>
                <c:pt idx="49">
                  <c:v>-111.49875699037823</c:v>
                </c:pt>
                <c:pt idx="50">
                  <c:v>-111.64180880604063</c:v>
                </c:pt>
                <c:pt idx="51">
                  <c:v>-111.75854644763353</c:v>
                </c:pt>
                <c:pt idx="52">
                  <c:v>-111.84795185681148</c:v>
                </c:pt>
                <c:pt idx="53">
                  <c:v>-111.9093842701582</c:v>
                </c:pt>
                <c:pt idx="54">
                  <c:v>-111.94276530870403</c:v>
                </c:pt>
                <c:pt idx="55">
                  <c:v>-111.94876343412523</c:v>
                </c:pt>
                <c:pt idx="56">
                  <c:v>-111.92893730745621</c:v>
                </c:pt>
                <c:pt idx="57">
                  <c:v>-111.88579121140036</c:v>
                </c:pt>
                <c:pt idx="58">
                  <c:v>-111.82270451992315</c:v>
                </c:pt>
                <c:pt idx="59">
                  <c:v>-111.74372511409793</c:v>
                </c:pt>
                <c:pt idx="60">
                  <c:v>-111.65325956724543</c:v>
                </c:pt>
                <c:pt idx="61">
                  <c:v>-111.55573858634249</c:v>
                </c:pt>
                <c:pt idx="62">
                  <c:v>-111.45537014144287</c:v>
                </c:pt>
                <c:pt idx="63">
                  <c:v>-111.35610774840741</c:v>
                </c:pt>
                <c:pt idx="64">
                  <c:v>-111.26196363148102</c:v>
                </c:pt>
                <c:pt idx="65">
                  <c:v>-111.17780192938741</c:v>
                </c:pt>
                <c:pt idx="66">
                  <c:v>-111.11076586082393</c:v>
                </c:pt>
                <c:pt idx="67">
                  <c:v>-111.07249838815957</c:v>
                </c:pt>
                <c:pt idx="68">
                  <c:v>-111.08218894477037</c:v>
                </c:pt>
                <c:pt idx="69">
                  <c:v>-111.16992517180618</c:v>
                </c:pt>
                <c:pt idx="70">
                  <c:v>-111.37840483754943</c:v>
                </c:pt>
                <c:pt idx="71">
                  <c:v>-111.75883398326482</c:v>
                </c:pt>
                <c:pt idx="72">
                  <c:v>-112.35623582210904</c:v>
                </c:pt>
                <c:pt idx="73">
                  <c:v>-113.18564672751792</c:v>
                </c:pt>
                <c:pt idx="74">
                  <c:v>-114.21327057116301</c:v>
                </c:pt>
                <c:pt idx="75">
                  <c:v>-115.3597467884853</c:v>
                </c:pt>
                <c:pt idx="76">
                  <c:v>-116.52583571378469</c:v>
                </c:pt>
                <c:pt idx="77">
                  <c:v>-117.62380132072877</c:v>
                </c:pt>
                <c:pt idx="78">
                  <c:v>-118.59881042034998</c:v>
                </c:pt>
                <c:pt idx="79">
                  <c:v>-119.4346787638611</c:v>
                </c:pt>
                <c:pt idx="80">
                  <c:v>-120.14639041868507</c:v>
                </c:pt>
                <c:pt idx="81">
                  <c:v>-120.7664746688753</c:v>
                </c:pt>
                <c:pt idx="82">
                  <c:v>-121.33250279158842</c:v>
                </c:pt>
                <c:pt idx="83">
                  <c:v>-121.87930720501697</c:v>
                </c:pt>
                <c:pt idx="84">
                  <c:v>-122.43574141987837</c:v>
                </c:pt>
                <c:pt idx="85">
                  <c:v>-123.02423369735975</c:v>
                </c:pt>
                <c:pt idx="86">
                  <c:v>-123.66156436219109</c:v>
                </c:pt>
                <c:pt idx="87">
                  <c:v>-124.35997709130231</c:v>
                </c:pt>
                <c:pt idx="88">
                  <c:v>-125.12825981106509</c:v>
                </c:pt>
                <c:pt idx="89">
                  <c:v>-125.97269191128683</c:v>
                </c:pt>
                <c:pt idx="90">
                  <c:v>-126.8978409343238</c:v>
                </c:pt>
                <c:pt idx="91">
                  <c:v>-127.90720297959668</c:v>
                </c:pt>
                <c:pt idx="92">
                  <c:v>-129.00367750434438</c:v>
                </c:pt>
                <c:pt idx="93">
                  <c:v>-130.18987468846638</c:v>
                </c:pt>
                <c:pt idx="94">
                  <c:v>-131.46827572272647</c:v>
                </c:pt>
                <c:pt idx="95">
                  <c:v>-132.84129584852639</c:v>
                </c:pt>
                <c:pt idx="96">
                  <c:v>-134.31132558477427</c:v>
                </c:pt>
                <c:pt idx="97">
                  <c:v>-135.88083747204126</c:v>
                </c:pt>
                <c:pt idx="98">
                  <c:v>-137.55263918849786</c:v>
                </c:pt>
                <c:pt idx="99">
                  <c:v>-139.33033212264257</c:v>
                </c:pt>
                <c:pt idx="100">
                  <c:v>-141.21900782372765</c:v>
                </c:pt>
                <c:pt idx="101">
                  <c:v>-143.22619687244489</c:v>
                </c:pt>
                <c:pt idx="102">
                  <c:v>-145.36308688818383</c:v>
                </c:pt>
                <c:pt idx="103">
                  <c:v>-147.64605344411143</c:v>
                </c:pt>
                <c:pt idx="104">
                  <c:v>-150.09859653085172</c:v>
                </c:pt>
                <c:pt idx="105">
                  <c:v>-152.7538299927877</c:v>
                </c:pt>
                <c:pt idx="106">
                  <c:v>-155.65767117467163</c:v>
                </c:pt>
                <c:pt idx="107">
                  <c:v>-158.8725641874623</c:v>
                </c:pt>
                <c:pt idx="108">
                  <c:v>-162.47978736610165</c:v>
                </c:pt>
                <c:pt idx="109">
                  <c:v>-166.56978055955898</c:v>
                </c:pt>
                <c:pt idx="110">
                  <c:v>-171.17014809874516</c:v>
                </c:pt>
                <c:pt idx="111">
                  <c:v>-175.92514023506536</c:v>
                </c:pt>
                <c:pt idx="112">
                  <c:v>-179.54934624432897</c:v>
                </c:pt>
                <c:pt idx="113">
                  <c:v>-181.29486413427355</c:v>
                </c:pt>
                <c:pt idx="114">
                  <c:v>-182.34544713832514</c:v>
                </c:pt>
                <c:pt idx="115">
                  <c:v>-183.33671590967765</c:v>
                </c:pt>
                <c:pt idx="116">
                  <c:v>-184.24016363322414</c:v>
                </c:pt>
                <c:pt idx="117">
                  <c:v>-185.18487239813851</c:v>
                </c:pt>
                <c:pt idx="118">
                  <c:v>-186.28116124744997</c:v>
                </c:pt>
                <c:pt idx="119">
                  <c:v>-187.36784249635514</c:v>
                </c:pt>
                <c:pt idx="120">
                  <c:v>-188.37944434176899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957504"/>
        <c:axId val="94516736"/>
      </c:scatterChart>
      <c:valAx>
        <c:axId val="93957504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 Offset (kHz)</a:t>
                </a:r>
              </a:p>
            </c:rich>
          </c:tx>
          <c:layout>
            <c:manualLayout>
              <c:xMode val="edge"/>
              <c:yMode val="edge"/>
              <c:x val="0.42148791303287575"/>
              <c:y val="0.909413732609848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94516736"/>
        <c:crossesAt val="-160"/>
        <c:crossBetween val="midCat"/>
      </c:valAx>
      <c:valAx>
        <c:axId val="94516736"/>
        <c:scaling>
          <c:orientation val="minMax"/>
          <c:max val="-80"/>
          <c:min val="-1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Phase Noise (dBc/Hz)</a:t>
                </a:r>
              </a:p>
            </c:rich>
          </c:tx>
          <c:layout>
            <c:manualLayout>
              <c:xMode val="edge"/>
              <c:yMode val="edge"/>
              <c:x val="1.8890193738007689E-2"/>
              <c:y val="0.309058699268809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93957504"/>
        <c:crossesAt val="0.1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2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PLL Phase Noise at VCO Output </a:t>
            </a:r>
          </a:p>
        </c:rich>
      </c:tx>
      <c:layout>
        <c:manualLayout>
          <c:xMode val="edge"/>
          <c:yMode val="edge"/>
          <c:x val="0.30404001658294305"/>
          <c:y val="4.85899466169593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936626281453867"/>
          <c:y val="0.20125810885675716"/>
          <c:w val="0.79123951537744641"/>
          <c:h val="0.59119569476672407"/>
        </c:manualLayout>
      </c:layout>
      <c:scatterChart>
        <c:scatterStyle val="smoothMarker"/>
        <c:varyColors val="0"/>
        <c:ser>
          <c:idx val="0"/>
          <c:order val="0"/>
          <c:tx>
            <c:v>1/f + PD  Noise</c:v>
          </c:tx>
          <c:spPr>
            <a:ln w="25400">
              <a:solidFill>
                <a:srgbClr val="000080"/>
              </a:solidFill>
              <a:prstDash val="lgDash"/>
            </a:ln>
          </c:spPr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'4thOrderClosedLoopPhaseNoise'!$P$8:$P$128</c:f>
              <c:numCache>
                <c:formatCode>0.00</c:formatCode>
                <c:ptCount val="121"/>
                <c:pt idx="0">
                  <c:v>-93.418938667087758</c:v>
                </c:pt>
                <c:pt idx="1">
                  <c:v>-93.914246383701808</c:v>
                </c:pt>
                <c:pt idx="2">
                  <c:v>-94.40898721960771</c:v>
                </c:pt>
                <c:pt idx="3">
                  <c:v>-94.903093453166122</c:v>
                </c:pt>
                <c:pt idx="4">
                  <c:v>-95.396489466949873</c:v>
                </c:pt>
                <c:pt idx="5">
                  <c:v>-95.889090876435645</c:v>
                </c:pt>
                <c:pt idx="6">
                  <c:v>-96.380803575014866</c:v>
                </c:pt>
                <c:pt idx="7">
                  <c:v>-96.871522690491361</c:v>
                </c:pt>
                <c:pt idx="8">
                  <c:v>-97.361131448846805</c:v>
                </c:pt>
                <c:pt idx="9">
                  <c:v>-97.849499941982771</c:v>
                </c:pt>
                <c:pt idx="10">
                  <c:v>-98.33648379746765</c:v>
                </c:pt>
                <c:pt idx="11">
                  <c:v>-98.821922750103965</c:v>
                </c:pt>
                <c:pt idx="12">
                  <c:v>-99.305639117486521</c:v>
                </c:pt>
                <c:pt idx="13">
                  <c:v>-99.787436184729827</c:v>
                </c:pt>
                <c:pt idx="14">
                  <c:v>-100.26709650730751</c:v>
                </c:pt>
                <c:pt idx="15">
                  <c:v>-100.74438014553921</c:v>
                </c:pt>
                <c:pt idx="16">
                  <c:v>-101.2190228497534</c:v>
                </c:pt>
                <c:pt idx="17">
                  <c:v>-101.6907342215558</c:v>
                </c:pt>
                <c:pt idx="18">
                  <c:v>-102.15919588390264</c:v>
                </c:pt>
                <c:pt idx="19">
                  <c:v>-102.62405970067128</c:v>
                </c:pt>
                <c:pt idx="20">
                  <c:v>-103.08494609486026</c:v>
                </c:pt>
                <c:pt idx="21">
                  <c:v>-103.54144252297728</c:v>
                </c:pt>
                <c:pt idx="22">
                  <c:v>-103.99310217090502</c:v>
                </c:pt>
                <c:pt idx="23">
                  <c:v>-104.43944294259906</c:v>
                </c:pt>
                <c:pt idx="24">
                  <c:v>-104.87994681607785</c:v>
                </c:pt>
                <c:pt idx="25">
                  <c:v>-105.3140596396667</c:v>
                </c:pt>
                <c:pt idx="26">
                  <c:v>-105.74119143335392</c:v>
                </c:pt>
                <c:pt idx="27">
                  <c:v>-106.16071724310694</c:v>
                </c:pt>
                <c:pt idx="28">
                  <c:v>-106.57197856758872</c:v>
                </c:pt>
                <c:pt idx="29">
                  <c:v>-106.97428533444265</c:v>
                </c:pt>
                <c:pt idx="30">
                  <c:v>-107.36691834504099</c:v>
                </c:pt>
                <c:pt idx="31">
                  <c:v>-107.74913203094378</c:v>
                </c:pt>
                <c:pt idx="32">
                  <c:v>-108.12015727224286</c:v>
                </c:pt>
                <c:pt idx="33">
                  <c:v>-108.47920391939203</c:v>
                </c:pt>
                <c:pt idx="34">
                  <c:v>-108.82546254074921</c:v>
                </c:pt>
                <c:pt idx="35">
                  <c:v>-109.15810479620809</c:v>
                </c:pt>
                <c:pt idx="36">
                  <c:v>-109.47628172601058</c:v>
                </c:pt>
                <c:pt idx="37">
                  <c:v>-109.77911916212344</c:v>
                </c:pt>
                <c:pt idx="38">
                  <c:v>-110.06570944424973</c:v>
                </c:pt>
                <c:pt idx="39">
                  <c:v>-110.33509869078721</c:v>
                </c:pt>
                <c:pt idx="40">
                  <c:v>-110.58626908800456</c:v>
                </c:pt>
                <c:pt idx="41">
                  <c:v>-110.81811608843677</c:v>
                </c:pt>
                <c:pt idx="42">
                  <c:v>-111.0294211464837</c:v>
                </c:pt>
                <c:pt idx="43">
                  <c:v>-111.21882178882659</c:v>
                </c:pt>
                <c:pt idx="44">
                  <c:v>-111.38478257089236</c:v>
                </c:pt>
                <c:pt idx="45">
                  <c:v>-111.52557297342557</c:v>
                </c:pt>
                <c:pt idx="46">
                  <c:v>-111.63926168523719</c:v>
                </c:pt>
                <c:pt idx="47">
                  <c:v>-111.72374103541222</c:v>
                </c:pt>
                <c:pt idx="48">
                  <c:v>-111.77680038431947</c:v>
                </c:pt>
                <c:pt idx="49">
                  <c:v>-111.7962724587361</c:v>
                </c:pt>
                <c:pt idx="50">
                  <c:v>-111.78028075468748</c:v>
                </c:pt>
                <c:pt idx="51">
                  <c:v>-111.72761742457084</c:v>
                </c:pt>
                <c:pt idx="52">
                  <c:v>-111.63827717628875</c:v>
                </c:pt>
                <c:pt idx="53">
                  <c:v>-111.51416100600137</c:v>
                </c:pt>
                <c:pt idx="54">
                  <c:v>-111.35994104580946</c:v>
                </c:pt>
                <c:pt idx="55">
                  <c:v>-111.18403986883453</c:v>
                </c:pt>
                <c:pt idx="56">
                  <c:v>-110.99961576499459</c:v>
                </c:pt>
                <c:pt idx="57">
                  <c:v>-110.82534697701981</c:v>
                </c:pt>
                <c:pt idx="58">
                  <c:v>-110.6856671891841</c:v>
                </c:pt>
                <c:pt idx="59">
                  <c:v>-110.60996148586861</c:v>
                </c:pt>
                <c:pt idx="60">
                  <c:v>-110.63022921378078</c:v>
                </c:pt>
                <c:pt idx="61">
                  <c:v>-110.77709826768898</c:v>
                </c:pt>
                <c:pt idx="62">
                  <c:v>-111.07495012849114</c:v>
                </c:pt>
                <c:pt idx="63">
                  <c:v>-111.53787510054181</c:v>
                </c:pt>
                <c:pt idx="64">
                  <c:v>-112.16829150104797</c:v>
                </c:pt>
                <c:pt idx="65">
                  <c:v>-112.95883312381504</c:v>
                </c:pt>
                <c:pt idx="66">
                  <c:v>-113.89637827224684</c:v>
                </c:pt>
                <c:pt idx="67">
                  <c:v>-114.96628180108891</c:v>
                </c:pt>
                <c:pt idx="68">
                  <c:v>-116.15537967559953</c:v>
                </c:pt>
                <c:pt idx="69">
                  <c:v>-117.45337885804871</c:v>
                </c:pt>
                <c:pt idx="70">
                  <c:v>-118.8529868478375</c:v>
                </c:pt>
                <c:pt idx="71">
                  <c:v>-120.34935890934413</c:v>
                </c:pt>
                <c:pt idx="72">
                  <c:v>-121.93934287143315</c:v>
                </c:pt>
                <c:pt idx="73">
                  <c:v>-123.62080869888229</c:v>
                </c:pt>
                <c:pt idx="74">
                  <c:v>-125.39217934744812</c:v>
                </c:pt>
                <c:pt idx="75">
                  <c:v>-127.25216259465141</c:v>
                </c:pt>
                <c:pt idx="76">
                  <c:v>-129.19961926512426</c:v>
                </c:pt>
                <c:pt idx="77">
                  <c:v>-131.23348278206845</c:v>
                </c:pt>
                <c:pt idx="78">
                  <c:v>-133.35265786327415</c:v>
                </c:pt>
                <c:pt idx="79">
                  <c:v>-135.55586020640507</c:v>
                </c:pt>
                <c:pt idx="80">
                  <c:v>-137.84140047838216</c:v>
                </c:pt>
                <c:pt idx="81">
                  <c:v>-140.2069513566457</c:v>
                </c:pt>
                <c:pt idx="82">
                  <c:v>-142.64935497690351</c:v>
                </c:pt>
                <c:pt idx="83">
                  <c:v>-145.16452471009077</c:v>
                </c:pt>
                <c:pt idx="84">
                  <c:v>-147.74747223699902</c:v>
                </c:pt>
                <c:pt idx="85">
                  <c:v>-150.39245812387182</c:v>
                </c:pt>
                <c:pt idx="86">
                  <c:v>-153.09323430610866</c:v>
                </c:pt>
                <c:pt idx="87">
                  <c:v>-155.84333003644937</c:v>
                </c:pt>
                <c:pt idx="88">
                  <c:v>-158.63633209095292</c:v>
                </c:pt>
                <c:pt idx="89">
                  <c:v>-161.46612174196224</c:v>
                </c:pt>
                <c:pt idx="90">
                  <c:v>-164.32704820553496</c:v>
                </c:pt>
                <c:pt idx="91">
                  <c:v>-167.21403446470595</c:v>
                </c:pt>
                <c:pt idx="92">
                  <c:v>-170.12262281800133</c:v>
                </c:pt>
                <c:pt idx="93">
                  <c:v>-173.04897337462853</c:v>
                </c:pt>
                <c:pt idx="94">
                  <c:v>-175.9898300548289</c:v>
                </c:pt>
                <c:pt idx="95">
                  <c:v>-178.94246715817371</c:v>
                </c:pt>
                <c:pt idx="96">
                  <c:v>-181.90462678564091</c:v>
                </c:pt>
                <c:pt idx="97">
                  <c:v>-184.87445441263964</c:v>
                </c:pt>
                <c:pt idx="98">
                  <c:v>-187.85043728882829</c:v>
                </c:pt>
                <c:pt idx="99">
                  <c:v>-190.8313483051565</c:v>
                </c:pt>
                <c:pt idx="100">
                  <c:v>-193.81619652509551</c:v>
                </c:pt>
                <c:pt idx="101">
                  <c:v>-196.80418463291295</c:v>
                </c:pt>
                <c:pt idx="102">
                  <c:v>-199.79467298628265</c:v>
                </c:pt>
                <c:pt idx="103">
                  <c:v>-202.7871496606069</c:v>
                </c:pt>
                <c:pt idx="104">
                  <c:v>-205.78120574692639</c:v>
                </c:pt>
                <c:pt idx="105">
                  <c:v>-208.77651514694412</c:v>
                </c:pt>
                <c:pt idx="106">
                  <c:v>-211.77281815088276</c:v>
                </c:pt>
                <c:pt idx="107">
                  <c:v>-214.76990815615008</c:v>
                </c:pt>
                <c:pt idx="108">
                  <c:v>-217.76762096813593</c:v>
                </c:pt>
                <c:pt idx="109">
                  <c:v>-220.76582620782392</c:v>
                </c:pt>
                <c:pt idx="110">
                  <c:v>-223.76442042836712</c:v>
                </c:pt>
                <c:pt idx="111">
                  <c:v>-226.76332161158768</c:v>
                </c:pt>
                <c:pt idx="112">
                  <c:v>-229.76246477474035</c:v>
                </c:pt>
                <c:pt idx="113">
                  <c:v>-232.76179846805462</c:v>
                </c:pt>
                <c:pt idx="114">
                  <c:v>-235.76128198537359</c:v>
                </c:pt>
                <c:pt idx="115">
                  <c:v>-238.76088314463141</c:v>
                </c:pt>
                <c:pt idx="116">
                  <c:v>-241.76057652304775</c:v>
                </c:pt>
                <c:pt idx="117">
                  <c:v>-244.7603420547577</c:v>
                </c:pt>
                <c:pt idx="118">
                  <c:v>-247.76016391705585</c:v>
                </c:pt>
                <c:pt idx="119">
                  <c:v>-250.76002964629524</c:v>
                </c:pt>
                <c:pt idx="120">
                  <c:v>-253.75992943640537</c:v>
                </c:pt>
              </c:numCache>
            </c:numRef>
          </c:yVal>
          <c:smooth val="1"/>
        </c:ser>
        <c:ser>
          <c:idx val="3"/>
          <c:order val="1"/>
          <c:tx>
            <c:v>CL VCO noise</c:v>
          </c:tx>
          <c:spPr>
            <a:ln w="127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'4thOrderClosedLoopPhaseNoise'!$AE$8:$AE$128</c:f>
              <c:numCache>
                <c:formatCode>0.00</c:formatCode>
                <c:ptCount val="121"/>
                <c:pt idx="0">
                  <c:v>-188.71081201806604</c:v>
                </c:pt>
                <c:pt idx="1">
                  <c:v>-187.7108125012054</c:v>
                </c:pt>
                <c:pt idx="2">
                  <c:v>-186.71081310944206</c:v>
                </c:pt>
                <c:pt idx="3">
                  <c:v>-185.71081387516713</c:v>
                </c:pt>
                <c:pt idx="4">
                  <c:v>-184.71081483915856</c:v>
                </c:pt>
                <c:pt idx="5">
                  <c:v>-183.71081605275307</c:v>
                </c:pt>
                <c:pt idx="6">
                  <c:v>-182.71081758058017</c:v>
                </c:pt>
                <c:pt idx="7">
                  <c:v>-181.7108195040031</c:v>
                </c:pt>
                <c:pt idx="8">
                  <c:v>-180.71082192545401</c:v>
                </c:pt>
                <c:pt idx="9">
                  <c:v>-179.71082497388736</c:v>
                </c:pt>
                <c:pt idx="10">
                  <c:v>-178.71082881164938</c:v>
                </c:pt>
                <c:pt idx="11">
                  <c:v>-177.71083364312409</c:v>
                </c:pt>
                <c:pt idx="12">
                  <c:v>-176.71083972562008</c:v>
                </c:pt>
                <c:pt idx="13">
                  <c:v>-175.71084738307553</c:v>
                </c:pt>
                <c:pt idx="14">
                  <c:v>-174.71085702331499</c:v>
                </c:pt>
                <c:pt idx="15">
                  <c:v>-173.71086915977503</c:v>
                </c:pt>
                <c:pt idx="16">
                  <c:v>-172.71088443885918</c:v>
                </c:pt>
                <c:pt idx="17">
                  <c:v>-171.71090367438183</c:v>
                </c:pt>
                <c:pt idx="18">
                  <c:v>-170.71092789093819</c:v>
                </c:pt>
                <c:pt idx="19">
                  <c:v>-169.71095837851789</c:v>
                </c:pt>
                <c:pt idx="20">
                  <c:v>-168.71099676128242</c:v>
                </c:pt>
                <c:pt idx="21">
                  <c:v>-167.71104508418287</c:v>
                </c:pt>
                <c:pt idx="22">
                  <c:v>-166.71110592206279</c:v>
                </c:pt>
                <c:pt idx="23">
                  <c:v>-165.71118251709521</c:v>
                </c:pt>
                <c:pt idx="24">
                  <c:v>-164.7112789519436</c:v>
                </c:pt>
                <c:pt idx="25">
                  <c:v>-163.71140036797752</c:v>
                </c:pt>
                <c:pt idx="26">
                  <c:v>-162.71155324033305</c:v>
                </c:pt>
                <c:pt idx="27">
                  <c:v>-161.71174572474183</c:v>
                </c:pt>
                <c:pt idx="28">
                  <c:v>-160.71198809502891</c:v>
                </c:pt>
                <c:pt idx="29">
                  <c:v>-159.7122932952617</c:v>
                </c:pt>
                <c:pt idx="30">
                  <c:v>-158.71267763703841</c:v>
                </c:pt>
                <c:pt idx="31">
                  <c:v>-157.71316168076402</c:v>
                </c:pt>
                <c:pt idx="32">
                  <c:v>-156.71377135056031</c:v>
                </c:pt>
                <c:pt idx="33">
                  <c:v>-155.71453934648022</c:v>
                </c:pt>
                <c:pt idx="34">
                  <c:v>-154.71550693602694</c:v>
                </c:pt>
                <c:pt idx="35">
                  <c:v>-153.71672623112781</c:v>
                </c:pt>
                <c:pt idx="36">
                  <c:v>-152.71826308879008</c:v>
                </c:pt>
                <c:pt idx="37">
                  <c:v>-151.72020081669982</c:v>
                </c:pt>
                <c:pt idx="38">
                  <c:v>-150.72264492333778</c:v>
                </c:pt>
                <c:pt idx="39">
                  <c:v>-149.72572923207372</c:v>
                </c:pt>
                <c:pt idx="40">
                  <c:v>-148.72962378935648</c:v>
                </c:pt>
                <c:pt idx="41">
                  <c:v>-147.73454515201834</c:v>
                </c:pt>
                <c:pt idx="42">
                  <c:v>-146.74076985772638</c:v>
                </c:pt>
                <c:pt idx="43">
                  <c:v>-145.74865219485073</c:v>
                </c:pt>
                <c:pt idx="44">
                  <c:v>-144.75864783601153</c:v>
                </c:pt>
                <c:pt idx="45">
                  <c:v>-143.7713455444659</c:v>
                </c:pt>
                <c:pt idx="46">
                  <c:v>-142.78751009036196</c:v>
                </c:pt>
                <c:pt idx="47">
                  <c:v>-141.80814084097642</c:v>
                </c:pt>
                <c:pt idx="48">
                  <c:v>-140.83455236154001</c:v>
                </c:pt>
                <c:pt idx="49">
                  <c:v>-139.86848593928869</c:v>
                </c:pt>
                <c:pt idx="50">
                  <c:v>-138.91226433101403</c:v>
                </c:pt>
                <c:pt idx="51">
                  <c:v>-137.96900613014225</c:v>
                </c:pt>
                <c:pt idx="52">
                  <c:v>-137.04292027327449</c:v>
                </c:pt>
                <c:pt idx="53">
                  <c:v>-136.13970335980747</c:v>
                </c:pt>
                <c:pt idx="54">
                  <c:v>-135.26705799364839</c:v>
                </c:pt>
                <c:pt idx="55">
                  <c:v>-134.43533002756422</c:v>
                </c:pt>
                <c:pt idx="56">
                  <c:v>-133.65821093343587</c:v>
                </c:pt>
                <c:pt idx="57">
                  <c:v>-132.9533493125856</c:v>
                </c:pt>
                <c:pt idx="58">
                  <c:v>-132.34255536315817</c:v>
                </c:pt>
                <c:pt idx="59">
                  <c:v>-131.85110860486847</c:v>
                </c:pt>
                <c:pt idx="60">
                  <c:v>-131.50564522063075</c:v>
                </c:pt>
                <c:pt idx="61">
                  <c:v>-131.33045819004974</c:v>
                </c:pt>
                <c:pt idx="62">
                  <c:v>-131.34291257566591</c:v>
                </c:pt>
                <c:pt idx="63">
                  <c:v>-131.54964737722611</c:v>
                </c:pt>
                <c:pt idx="64">
                  <c:v>-131.94536721692</c:v>
                </c:pt>
                <c:pt idx="65">
                  <c:v>-132.51481689817709</c:v>
                </c:pt>
                <c:pt idx="66">
                  <c:v>-133.23681688952018</c:v>
                </c:pt>
                <c:pt idx="67">
                  <c:v>-134.08843704618295</c:v>
                </c:pt>
                <c:pt idx="68">
                  <c:v>-135.04790080811631</c:v>
                </c:pt>
                <c:pt idx="69">
                  <c:v>-136.09585973571623</c:v>
                </c:pt>
                <c:pt idx="70">
                  <c:v>-137.2154231317071</c:v>
                </c:pt>
                <c:pt idx="71">
                  <c:v>-138.39155426884867</c:v>
                </c:pt>
                <c:pt idx="72">
                  <c:v>-139.610348616821</c:v>
                </c:pt>
                <c:pt idx="73">
                  <c:v>-140.85851554448334</c:v>
                </c:pt>
                <c:pt idx="74">
                  <c:v>-142.12320644964197</c:v>
                </c:pt>
                <c:pt idx="75">
                  <c:v>-143.39219766960304</c:v>
                </c:pt>
                <c:pt idx="76">
                  <c:v>-144.65434326795781</c:v>
                </c:pt>
                <c:pt idx="77">
                  <c:v>-145.90015548441161</c:v>
                </c:pt>
                <c:pt idx="78">
                  <c:v>-147.12234836315577</c:v>
                </c:pt>
                <c:pt idx="79">
                  <c:v>-148.31619455705334</c:v>
                </c:pt>
                <c:pt idx="80">
                  <c:v>-149.47959539266026</c:v>
                </c:pt>
                <c:pt idx="81">
                  <c:v>-150.61283983627507</c:v>
                </c:pt>
                <c:pt idx="82">
                  <c:v>-151.71810789205159</c:v>
                </c:pt>
                <c:pt idx="83">
                  <c:v>-152.79883227567746</c:v>
                </c:pt>
                <c:pt idx="84">
                  <c:v>-153.8590505327679</c:v>
                </c:pt>
                <c:pt idx="85">
                  <c:v>-154.90285696622755</c:v>
                </c:pt>
                <c:pt idx="86">
                  <c:v>-155.93401545990042</c:v>
                </c:pt>
                <c:pt idx="87">
                  <c:v>-156.95574289777562</c:v>
                </c:pt>
                <c:pt idx="88">
                  <c:v>-157.97063563137721</c:v>
                </c:pt>
                <c:pt idx="89">
                  <c:v>-158.98069457245845</c:v>
                </c:pt>
                <c:pt idx="90">
                  <c:v>-159.9874047046147</c:v>
                </c:pt>
                <c:pt idx="91">
                  <c:v>-160.99183461779606</c:v>
                </c:pt>
                <c:pt idx="92">
                  <c:v>-161.99473408751999</c:v>
                </c:pt>
                <c:pt idx="93">
                  <c:v>-162.99661845793008</c:v>
                </c:pt>
                <c:pt idx="94">
                  <c:v>-163.99783604899949</c:v>
                </c:pt>
                <c:pt idx="95">
                  <c:v>-164.99861910910514</c:v>
                </c:pt>
                <c:pt idx="96">
                  <c:v>-165.99912080110838</c:v>
                </c:pt>
                <c:pt idx="97">
                  <c:v>-166.99944124201596</c:v>
                </c:pt>
                <c:pt idx="98">
                  <c:v>-167.9996454104965</c:v>
                </c:pt>
                <c:pt idx="99">
                  <c:v>-168.99977523941152</c:v>
                </c:pt>
                <c:pt idx="100">
                  <c:v>-169.99985766602495</c:v>
                </c:pt>
                <c:pt idx="101">
                  <c:v>-170.99990993147884</c:v>
                </c:pt>
                <c:pt idx="102">
                  <c:v>-171.99994303879706</c:v>
                </c:pt>
                <c:pt idx="103">
                  <c:v>-172.99996399362186</c:v>
                </c:pt>
                <c:pt idx="104">
                  <c:v>-173.99997724819698</c:v>
                </c:pt>
                <c:pt idx="105">
                  <c:v>-174.99998562784967</c:v>
                </c:pt>
                <c:pt idx="106">
                  <c:v>-175.99999092338521</c:v>
                </c:pt>
                <c:pt idx="107">
                  <c:v>-176.99999426882695</c:v>
                </c:pt>
                <c:pt idx="108">
                  <c:v>-177.99999638175882</c:v>
                </c:pt>
                <c:pt idx="109">
                  <c:v>-178.999997715983</c:v>
                </c:pt>
                <c:pt idx="110">
                  <c:v>-179.99999855835054</c:v>
                </c:pt>
                <c:pt idx="111">
                  <c:v>-180.99999909011385</c:v>
                </c:pt>
                <c:pt idx="112">
                  <c:v>-181.99999942576679</c:v>
                </c:pt>
                <c:pt idx="113">
                  <c:v>-182.99999963761627</c:v>
                </c:pt>
                <c:pt idx="114">
                  <c:v>-183.9999997713177</c:v>
                </c:pt>
                <c:pt idx="115">
                  <c:v>-184.9999998556944</c:v>
                </c:pt>
                <c:pt idx="116">
                  <c:v>-185.99999990894088</c:v>
                </c:pt>
                <c:pt idx="117">
                  <c:v>-186.99999994254139</c:v>
                </c:pt>
                <c:pt idx="118">
                  <c:v>-187.99999996374393</c:v>
                </c:pt>
                <c:pt idx="119">
                  <c:v>-188.99999997712285</c:v>
                </c:pt>
                <c:pt idx="120">
                  <c:v>-189.99999998556495</c:v>
                </c:pt>
              </c:numCache>
            </c:numRef>
          </c:yVal>
          <c:smooth val="1"/>
        </c:ser>
        <c:ser>
          <c:idx val="1"/>
          <c:order val="2"/>
          <c:tx>
            <c:v>Ref. Noise</c:v>
          </c:tx>
          <c:spPr>
            <a:ln w="12700">
              <a:solidFill>
                <a:srgbClr val="FF00FF"/>
              </a:solidFill>
              <a:prstDash val="sysDash"/>
            </a:ln>
          </c:spPr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'4thOrderClosedLoopPhaseNoise'!$AJ$8:$AJ$128</c:f>
              <c:numCache>
                <c:formatCode>0.00</c:formatCode>
                <c:ptCount val="121"/>
                <c:pt idx="0">
                  <c:v>-100.43696491667859</c:v>
                </c:pt>
                <c:pt idx="1">
                  <c:v>-101.13696230784308</c:v>
                </c:pt>
                <c:pt idx="2">
                  <c:v>-101.8369590235173</c:v>
                </c:pt>
                <c:pt idx="3">
                  <c:v>-102.53695488880162</c:v>
                </c:pt>
                <c:pt idx="4">
                  <c:v>-103.2369496835117</c:v>
                </c:pt>
                <c:pt idx="5">
                  <c:v>-103.93694313045387</c:v>
                </c:pt>
                <c:pt idx="6">
                  <c:v>-104.63693488066495</c:v>
                </c:pt>
                <c:pt idx="7">
                  <c:v>-105.33692449483084</c:v>
                </c:pt>
                <c:pt idx="8">
                  <c:v>-106.03691141989572</c:v>
                </c:pt>
                <c:pt idx="9">
                  <c:v>-106.73689495961519</c:v>
                </c:pt>
                <c:pt idx="10">
                  <c:v>-107.43687423748878</c:v>
                </c:pt>
                <c:pt idx="11">
                  <c:v>-108.13684815009735</c:v>
                </c:pt>
                <c:pt idx="12">
                  <c:v>-108.83681530836638</c:v>
                </c:pt>
                <c:pt idx="13">
                  <c:v>-109.53677396362963</c:v>
                </c:pt>
                <c:pt idx="14">
                  <c:v>-110.23672191456642</c:v>
                </c:pt>
                <c:pt idx="15">
                  <c:v>-110.93665639006716</c:v>
                </c:pt>
                <c:pt idx="16">
                  <c:v>-111.63657390181127</c:v>
                </c:pt>
                <c:pt idx="17">
                  <c:v>-112.33647005873874</c:v>
                </c:pt>
                <c:pt idx="18">
                  <c:v>-113.03633933358513</c:v>
                </c:pt>
                <c:pt idx="19">
                  <c:v>-113.73617476912983</c:v>
                </c:pt>
                <c:pt idx="20">
                  <c:v>-114.43596760864202</c:v>
                </c:pt>
                <c:pt idx="21">
                  <c:v>-115.68570683104574</c:v>
                </c:pt>
                <c:pt idx="22">
                  <c:v>-116.93537856637593</c:v>
                </c:pt>
                <c:pt idx="23">
                  <c:v>-118.18496536090186</c:v>
                </c:pt>
                <c:pt idx="24">
                  <c:v>-119.43444525359322</c:v>
                </c:pt>
                <c:pt idx="25">
                  <c:v>-120.68379061602582</c:v>
                </c:pt>
                <c:pt idx="26">
                  <c:v>-121.9329666959697</c:v>
                </c:pt>
                <c:pt idx="27">
                  <c:v>-123.18192979030358</c:v>
                </c:pt>
                <c:pt idx="28">
                  <c:v>-124.43062495501819</c:v>
                </c:pt>
                <c:pt idx="29">
                  <c:v>-125.67898313836022</c:v>
                </c:pt>
                <c:pt idx="30">
                  <c:v>-126.92691759708487</c:v>
                </c:pt>
                <c:pt idx="31">
                  <c:v>-128.17431942491154</c:v>
                </c:pt>
                <c:pt idx="32">
                  <c:v>-129.42105198649011</c:v>
                </c:pt>
                <c:pt idx="33">
                  <c:v>-130.66694400994064</c:v>
                </c:pt>
                <c:pt idx="34">
                  <c:v>-131.91178104784694</c:v>
                </c:pt>
                <c:pt idx="35">
                  <c:v>-133.15529497381343</c:v>
                </c:pt>
                <c:pt idx="36">
                  <c:v>-134.39715114568529</c:v>
                </c:pt>
                <c:pt idx="37">
                  <c:v>-135.63693284843484</c:v>
                </c:pt>
                <c:pt idx="38">
                  <c:v>-136.87412264808847</c:v>
                </c:pt>
                <c:pt idx="39">
                  <c:v>-138.10808037256751</c:v>
                </c:pt>
                <c:pt idx="40">
                  <c:v>-139.33801763159684</c:v>
                </c:pt>
                <c:pt idx="41">
                  <c:v>-139.31296916360608</c:v>
                </c:pt>
                <c:pt idx="42">
                  <c:v>-139.2817619489222</c:v>
                </c:pt>
                <c:pt idx="43">
                  <c:v>-139.24298408474621</c:v>
                </c:pt>
                <c:pt idx="44">
                  <c:v>-139.19495703929584</c:v>
                </c:pt>
                <c:pt idx="45">
                  <c:v>-139.13571726738436</c:v>
                </c:pt>
                <c:pt idx="46">
                  <c:v>-139.06301643051503</c:v>
                </c:pt>
                <c:pt idx="47">
                  <c:v>-138.97435366932922</c:v>
                </c:pt>
                <c:pt idx="48">
                  <c:v>-138.8670583379965</c:v>
                </c:pt>
                <c:pt idx="49">
                  <c:v>-138.73844673559628</c:v>
                </c:pt>
                <c:pt idx="50">
                  <c:v>-138.58608049257845</c:v>
                </c:pt>
                <c:pt idx="51">
                  <c:v>-138.40815558087098</c:v>
                </c:pt>
                <c:pt idx="52">
                  <c:v>-138.20404707202613</c:v>
                </c:pt>
                <c:pt idx="53">
                  <c:v>-137.97502312593065</c:v>
                </c:pt>
                <c:pt idx="54">
                  <c:v>-137.72511922789585</c:v>
                </c:pt>
                <c:pt idx="55">
                  <c:v>-137.46212583217397</c:v>
                </c:pt>
                <c:pt idx="56">
                  <c:v>-137.19858081673667</c:v>
                </c:pt>
                <c:pt idx="57">
                  <c:v>-136.95255969832093</c:v>
                </c:pt>
                <c:pt idx="58">
                  <c:v>-136.74791591646681</c:v>
                </c:pt>
                <c:pt idx="59">
                  <c:v>-136.61348046416151</c:v>
                </c:pt>
                <c:pt idx="60">
                  <c:v>-136.58072739109772</c:v>
                </c:pt>
                <c:pt idx="61">
                  <c:v>-136.67978981170239</c:v>
                </c:pt>
                <c:pt idx="62">
                  <c:v>-136.93458586920573</c:v>
                </c:pt>
                <c:pt idx="63">
                  <c:v>-137.35877422724317</c:v>
                </c:pt>
                <c:pt idx="64">
                  <c:v>-137.95437296240567</c:v>
                </c:pt>
                <c:pt idx="65">
                  <c:v>-138.71364629240685</c:v>
                </c:pt>
                <c:pt idx="66">
                  <c:v>-139.62313253625877</c:v>
                </c:pt>
                <c:pt idx="67">
                  <c:v>-140.66787483514847</c:v>
                </c:pt>
                <c:pt idx="68">
                  <c:v>-141.83442421921399</c:v>
                </c:pt>
                <c:pt idx="69">
                  <c:v>-143.11222789427211</c:v>
                </c:pt>
                <c:pt idx="70">
                  <c:v>-144.49375712737711</c:v>
                </c:pt>
                <c:pt idx="71">
                  <c:v>-145.97395280743848</c:v>
                </c:pt>
                <c:pt idx="72">
                  <c:v>-147.54946859772741</c:v>
                </c:pt>
                <c:pt idx="73">
                  <c:v>-149.21799890546905</c:v>
                </c:pt>
                <c:pt idx="74">
                  <c:v>-150.97780819846821</c:v>
                </c:pt>
                <c:pt idx="75">
                  <c:v>-152.82746137351154</c:v>
                </c:pt>
                <c:pt idx="76">
                  <c:v>-154.76569060352466</c:v>
                </c:pt>
                <c:pt idx="77">
                  <c:v>-156.79131359955002</c:v>
                </c:pt>
                <c:pt idx="78">
                  <c:v>-158.90313110768207</c:v>
                </c:pt>
                <c:pt idx="79">
                  <c:v>-161.09976548518114</c:v>
                </c:pt>
                <c:pt idx="80">
                  <c:v>-163.37944366849595</c:v>
                </c:pt>
                <c:pt idx="81">
                  <c:v>-165.73976327770382</c:v>
                </c:pt>
                <c:pt idx="82">
                  <c:v>-168.17749920790217</c:v>
                </c:pt>
                <c:pt idx="83">
                  <c:v>-170.68850462568781</c:v>
                </c:pt>
                <c:pt idx="84">
                  <c:v>-173.26773733430517</c:v>
                </c:pt>
                <c:pt idx="85">
                  <c:v>-175.90940970576827</c:v>
                </c:pt>
                <c:pt idx="86">
                  <c:v>-178.60723058212528</c:v>
                </c:pt>
                <c:pt idx="87">
                  <c:v>-181.35469069737465</c:v>
                </c:pt>
                <c:pt idx="88">
                  <c:v>-184.14534240866851</c:v>
                </c:pt>
                <c:pt idx="89">
                  <c:v>-186.97303624154239</c:v>
                </c:pt>
                <c:pt idx="90">
                  <c:v>-189.8320939524568</c:v>
                </c:pt>
                <c:pt idx="91">
                  <c:v>-192.71741400609574</c:v>
                </c:pt>
                <c:pt idx="92">
                  <c:v>-195.62451681319996</c:v>
                </c:pt>
                <c:pt idx="93">
                  <c:v>-198.54954294699502</c:v>
                </c:pt>
                <c:pt idx="94">
                  <c:v>-201.48921889360855</c:v>
                </c:pt>
                <c:pt idx="95">
                  <c:v>-204.44080339642372</c:v>
                </c:pt>
                <c:pt idx="96">
                  <c:v>-207.40202467762134</c:v>
                </c:pt>
                <c:pt idx="97">
                  <c:v>-210.37101583172466</c:v>
                </c:pt>
                <c:pt idx="98">
                  <c:v>-213.34625306485538</c:v>
                </c:pt>
                <c:pt idx="99">
                  <c:v>-216.32649941819764</c:v>
                </c:pt>
                <c:pt idx="100">
                  <c:v>-219.31075517088371</c:v>
                </c:pt>
                <c:pt idx="101">
                  <c:v>-222.29821517357934</c:v>
                </c:pt>
                <c:pt idx="102">
                  <c:v>-225.28823279863536</c:v>
                </c:pt>
                <c:pt idx="103">
                  <c:v>-228.28028989290348</c:v>
                </c:pt>
                <c:pt idx="104">
                  <c:v>-231.27397199393761</c:v>
                </c:pt>
                <c:pt idx="105">
                  <c:v>-234.26894805207462</c:v>
                </c:pt>
                <c:pt idx="106">
                  <c:v>-237.26495394318445</c:v>
                </c:pt>
                <c:pt idx="107">
                  <c:v>-240.26177912923256</c:v>
                </c:pt>
                <c:pt idx="108">
                  <c:v>-243.25925590723079</c:v>
                </c:pt>
                <c:pt idx="109">
                  <c:v>-246.25725077059397</c:v>
                </c:pt>
                <c:pt idx="110">
                  <c:v>-249.25565748445112</c:v>
                </c:pt>
                <c:pt idx="111">
                  <c:v>-252.25439154533876</c:v>
                </c:pt>
                <c:pt idx="112">
                  <c:v>-255.25338575513513</c:v>
                </c:pt>
                <c:pt idx="113">
                  <c:v>-258.25258668932514</c:v>
                </c:pt>
                <c:pt idx="114">
                  <c:v>-261.25195188152964</c:v>
                </c:pt>
                <c:pt idx="115">
                  <c:v>-264.2514475807011</c:v>
                </c:pt>
                <c:pt idx="116">
                  <c:v>-267.25104696555826</c:v>
                </c:pt>
                <c:pt idx="117">
                  <c:v>-270.25072872370583</c:v>
                </c:pt>
                <c:pt idx="118">
                  <c:v>-273.25047592137599</c:v>
                </c:pt>
                <c:pt idx="119">
                  <c:v>-276.25027510461382</c:v>
                </c:pt>
                <c:pt idx="120">
                  <c:v>-279.25011558467821</c:v>
                </c:pt>
              </c:numCache>
            </c:numRef>
          </c:yVal>
          <c:smooth val="1"/>
        </c:ser>
        <c:ser>
          <c:idx val="2"/>
          <c:order val="3"/>
          <c:tx>
            <c:v>Total</c:v>
          </c:tx>
          <c:spPr>
            <a:ln w="38100"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'4thOrderClosedLoopPhaseNoise'!$AK$8:$AK$128</c:f>
              <c:numCache>
                <c:formatCode>0.00</c:formatCode>
                <c:ptCount val="121"/>
                <c:pt idx="0">
                  <c:v>-92.630972725867252</c:v>
                </c:pt>
                <c:pt idx="1">
                  <c:v>-93.159438790186783</c:v>
                </c:pt>
                <c:pt idx="2">
                  <c:v>-93.686118328415304</c:v>
                </c:pt>
                <c:pt idx="3">
                  <c:v>-94.210982828586211</c:v>
                </c:pt>
                <c:pt idx="4">
                  <c:v>-94.733995245174597</c:v>
                </c:pt>
                <c:pt idx="5">
                  <c:v>-95.255109060186243</c:v>
                </c:pt>
                <c:pt idx="6">
                  <c:v>-95.774267261391785</c:v>
                </c:pt>
                <c:pt idx="7">
                  <c:v>-96.291401232304153</c:v>
                </c:pt>
                <c:pt idx="8">
                  <c:v>-96.806429549084186</c:v>
                </c:pt>
                <c:pt idx="9">
                  <c:v>-97.319256680477054</c:v>
                </c:pt>
                <c:pt idx="10">
                  <c:v>-97.829771588212168</c:v>
                </c:pt>
                <c:pt idx="11">
                  <c:v>-98.337846227123464</c:v>
                </c:pt>
                <c:pt idx="12">
                  <c:v>-98.843333946673297</c:v>
                </c:pt>
                <c:pt idx="13">
                  <c:v>-99.346067798683919</c:v>
                </c:pt>
                <c:pt idx="14">
                  <c:v>-99.845858760008483</c:v>
                </c:pt>
                <c:pt idx="15">
                  <c:v>-100.34249388368895</c:v>
                </c:pt>
                <c:pt idx="16">
                  <c:v>-100.83573439793454</c:v>
                </c:pt>
                <c:pt idx="17">
                  <c:v>-101.32531377901981</c:v>
                </c:pt>
                <c:pt idx="18">
                  <c:v>-101.81093583191671</c:v>
                </c:pt>
                <c:pt idx="19">
                  <c:v>-102.29227282098461</c:v>
                </c:pt>
                <c:pt idx="20">
                  <c:v>-102.76896370205552</c:v>
                </c:pt>
                <c:pt idx="21">
                  <c:v>-103.2741336283887</c:v>
                </c:pt>
                <c:pt idx="22">
                  <c:v>-103.76672293029172</c:v>
                </c:pt>
                <c:pt idx="23">
                  <c:v>-104.2473346260529</c:v>
                </c:pt>
                <c:pt idx="24">
                  <c:v>-104.71639764830635</c:v>
                </c:pt>
                <c:pt idx="25">
                  <c:v>-105.17417924949042</c:v>
                </c:pt>
                <c:pt idx="26">
                  <c:v>-105.62079834138447</c:v>
                </c:pt>
                <c:pt idx="27">
                  <c:v>-106.05623917948107</c:v>
                </c:pt>
                <c:pt idx="28">
                  <c:v>-106.48036498291336</c:v>
                </c:pt>
                <c:pt idx="29">
                  <c:v>-106.89293119796122</c:v>
                </c:pt>
                <c:pt idx="30">
                  <c:v>-107.29359817139276</c:v>
                </c:pt>
                <c:pt idx="31">
                  <c:v>-107.68194300516973</c:v>
                </c:pt>
                <c:pt idx="32">
                  <c:v>-108.05747032401776</c:v>
                </c:pt>
                <c:pt idx="33">
                  <c:v>-108.41962161111832</c:v>
                </c:pt>
                <c:pt idx="34">
                  <c:v>-108.76778266569652</c:v>
                </c:pt>
                <c:pt idx="35">
                  <c:v>-109.10128862323856</c:v>
                </c:pt>
                <c:pt idx="36">
                  <c:v>-109.41942587207386</c:v>
                </c:pt>
                <c:pt idx="37">
                  <c:v>-109.72143012214288</c:v>
                </c:pt>
                <c:pt idx="38">
                  <c:v>-110.00647986358516</c:v>
                </c:pt>
                <c:pt idx="39">
                  <c:v>-110.27368453554976</c:v>
                </c:pt>
                <c:pt idx="40">
                  <c:v>-110.52206696531029</c:v>
                </c:pt>
                <c:pt idx="41">
                  <c:v>-110.74902797891626</c:v>
                </c:pt>
                <c:pt idx="42">
                  <c:v>-110.95508387915592</c:v>
                </c:pt>
                <c:pt idx="43">
                  <c:v>-111.13880168230909</c:v>
                </c:pt>
                <c:pt idx="44">
                  <c:v>-111.29855697458062</c:v>
                </c:pt>
                <c:pt idx="45">
                  <c:v>-111.4325111278813</c:v>
                </c:pt>
                <c:pt idx="46">
                  <c:v>-111.53860690920885</c:v>
                </c:pt>
                <c:pt idx="47">
                  <c:v>-111.61459721671319</c:v>
                </c:pt>
                <c:pt idx="48">
                  <c:v>-111.65812675524195</c:v>
                </c:pt>
                <c:pt idx="49">
                  <c:v>-111.66689139427666</c:v>
                </c:pt>
                <c:pt idx="50">
                  <c:v>-111.6389033926025</c:v>
                </c:pt>
                <c:pt idx="51">
                  <c:v>-111.57289070494249</c:v>
                </c:pt>
                <c:pt idx="52">
                  <c:v>-111.46885295497731</c:v>
                </c:pt>
                <c:pt idx="53">
                  <c:v>-111.32878316762213</c:v>
                </c:pt>
                <c:pt idx="54">
                  <c:v>-111.15754079695046</c:v>
                </c:pt>
                <c:pt idx="55">
                  <c:v>-110.96382432144381</c:v>
                </c:pt>
                <c:pt idx="56">
                  <c:v>-110.76113265992316</c:v>
                </c:pt>
                <c:pt idx="57">
                  <c:v>-110.56851046722375</c:v>
                </c:pt>
                <c:pt idx="58">
                  <c:v>-110.41073579237653</c:v>
                </c:pt>
                <c:pt idx="59">
                  <c:v>-110.31746738341275</c:v>
                </c:pt>
                <c:pt idx="60">
                  <c:v>-110.3208646423632</c:v>
                </c:pt>
                <c:pt idx="61">
                  <c:v>-110.45156689849861</c:v>
                </c:pt>
                <c:pt idx="62">
                  <c:v>-110.73378771847612</c:v>
                </c:pt>
                <c:pt idx="63">
                  <c:v>-111.1812345511332</c:v>
                </c:pt>
                <c:pt idx="64">
                  <c:v>-111.79567354481277</c:v>
                </c:pt>
                <c:pt idx="65">
                  <c:v>-112.56872530563945</c:v>
                </c:pt>
                <c:pt idx="66">
                  <c:v>-113.48574043663609</c:v>
                </c:pt>
                <c:pt idx="67">
                  <c:v>-114.52978326578487</c:v>
                </c:pt>
                <c:pt idx="68">
                  <c:v>-115.68424843358014</c:v>
                </c:pt>
                <c:pt idx="69">
                  <c:v>-116.93366513448488</c:v>
                </c:pt>
                <c:pt idx="70">
                  <c:v>-118.26297847408519</c:v>
                </c:pt>
                <c:pt idx="71">
                  <c:v>-119.65584103583659</c:v>
                </c:pt>
                <c:pt idx="72">
                  <c:v>-121.09244000858651</c:v>
                </c:pt>
                <c:pt idx="73">
                  <c:v>-122.54742563066714</c:v>
                </c:pt>
                <c:pt idx="74">
                  <c:v>-123.98877647986284</c:v>
                </c:pt>
                <c:pt idx="75">
                  <c:v>-125.37887410644488</c:v>
                </c:pt>
                <c:pt idx="76">
                  <c:v>-126.6791306725257</c:v>
                </c:pt>
                <c:pt idx="77">
                  <c:v>-127.85823577788983</c:v>
                </c:pt>
                <c:pt idx="78">
                  <c:v>-128.90119439999506</c:v>
                </c:pt>
                <c:pt idx="79">
                  <c:v>-129.81407367413254</c:v>
                </c:pt>
                <c:pt idx="80">
                  <c:v>-130.62117072641036</c:v>
                </c:pt>
                <c:pt idx="81">
                  <c:v>-131.35644168702035</c:v>
                </c:pt>
                <c:pt idx="82">
                  <c:v>-132.05426633408945</c:v>
                </c:pt>
                <c:pt idx="83">
                  <c:v>-132.74334930101071</c:v>
                </c:pt>
                <c:pt idx="84">
                  <c:v>-133.44444335062767</c:v>
                </c:pt>
                <c:pt idx="85">
                  <c:v>-134.17069277680423</c:v>
                </c:pt>
                <c:pt idx="86">
                  <c:v>-134.92916197146576</c:v>
                </c:pt>
                <c:pt idx="87">
                  <c:v>-135.72260278502395</c:v>
                </c:pt>
                <c:pt idx="88">
                  <c:v>-136.5510161882203</c:v>
                </c:pt>
                <c:pt idx="89">
                  <c:v>-137.41287186923981</c:v>
                </c:pt>
                <c:pt idx="90">
                  <c:v>-138.30599454558575</c:v>
                </c:pt>
                <c:pt idx="91">
                  <c:v>-139.22817890597503</c:v>
                </c:pt>
                <c:pt idx="92">
                  <c:v>-140.17760561358213</c:v>
                </c:pt>
                <c:pt idx="93">
                  <c:v>-141.15312451463225</c:v>
                </c:pt>
                <c:pt idx="94">
                  <c:v>-142.15446000657838</c:v>
                </c:pt>
                <c:pt idx="95">
                  <c:v>-143.18238259020771</c:v>
                </c:pt>
                <c:pt idx="96">
                  <c:v>-144.23888208983439</c:v>
                </c:pt>
                <c:pt idx="97">
                  <c:v>-145.3273726896382</c:v>
                </c:pt>
                <c:pt idx="98">
                  <c:v>-146.45295813108919</c:v>
                </c:pt>
                <c:pt idx="99">
                  <c:v>-147.62278746485421</c:v>
                </c:pt>
                <c:pt idx="100">
                  <c:v>-148.84653831639761</c:v>
                </c:pt>
                <c:pt idx="101">
                  <c:v>-150.13707709610026</c:v>
                </c:pt>
                <c:pt idx="102">
                  <c:v>-151.51136659306832</c:v>
                </c:pt>
                <c:pt idx="103">
                  <c:v>-152.99172561811898</c:v>
                </c:pt>
                <c:pt idx="104">
                  <c:v>-154.60760070847942</c:v>
                </c:pt>
                <c:pt idx="105">
                  <c:v>-156.39809845172212</c:v>
                </c:pt>
                <c:pt idx="106">
                  <c:v>-158.41566134788957</c:v>
                </c:pt>
                <c:pt idx="107">
                  <c:v>-160.73143090136148</c:v>
                </c:pt>
                <c:pt idx="108">
                  <c:v>-163.44278328310304</c:v>
                </c:pt>
                <c:pt idx="109">
                  <c:v>-166.68165337468037</c:v>
                </c:pt>
                <c:pt idx="110">
                  <c:v>-170.60883975487394</c:v>
                </c:pt>
                <c:pt idx="111">
                  <c:v>-175.29606337008192</c:v>
                </c:pt>
                <c:pt idx="112">
                  <c:v>-180.05640427274696</c:v>
                </c:pt>
                <c:pt idx="113">
                  <c:v>-182.83232605484426</c:v>
                </c:pt>
                <c:pt idx="114">
                  <c:v>-183.97113261347346</c:v>
                </c:pt>
                <c:pt idx="115">
                  <c:v>-184.87313906886132</c:v>
                </c:pt>
                <c:pt idx="116">
                  <c:v>-185.18567676525348</c:v>
                </c:pt>
                <c:pt idx="117">
                  <c:v>-185.58357407092458</c:v>
                </c:pt>
                <c:pt idx="118">
                  <c:v>-187.06056063914298</c:v>
                </c:pt>
                <c:pt idx="119">
                  <c:v>-188.85844089169782</c:v>
                </c:pt>
                <c:pt idx="120">
                  <c:v>-189.97685656820556</c:v>
                </c:pt>
              </c:numCache>
            </c:numRef>
          </c:yVal>
          <c:smooth val="1"/>
        </c:ser>
        <c:ser>
          <c:idx val="4"/>
          <c:order val="4"/>
          <c:tx>
            <c:v>rleak</c:v>
          </c:tx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'4thOrderClosedLoopPhaseNoise'!$R$8:$R$128</c:f>
              <c:numCache>
                <c:formatCode>0.00</c:formatCode>
                <c:ptCount val="121"/>
                <c:pt idx="0">
                  <c:v>-135.99199943311322</c:v>
                </c:pt>
                <c:pt idx="1">
                  <c:v>-135.99199682427778</c:v>
                </c:pt>
                <c:pt idx="2">
                  <c:v>-135.99199353995201</c:v>
                </c:pt>
                <c:pt idx="3">
                  <c:v>-135.99198940523638</c:v>
                </c:pt>
                <c:pt idx="4">
                  <c:v>-135.99198419994647</c:v>
                </c:pt>
                <c:pt idx="5">
                  <c:v>-135.99197764688861</c:v>
                </c:pt>
                <c:pt idx="6">
                  <c:v>-135.99196939709975</c:v>
                </c:pt>
                <c:pt idx="7">
                  <c:v>-135.99195901126561</c:v>
                </c:pt>
                <c:pt idx="8">
                  <c:v>-135.9919459363305</c:v>
                </c:pt>
                <c:pt idx="9">
                  <c:v>-135.99192947605002</c:v>
                </c:pt>
                <c:pt idx="10">
                  <c:v>-135.99190875392361</c:v>
                </c:pt>
                <c:pt idx="11">
                  <c:v>-135.99188266653218</c:v>
                </c:pt>
                <c:pt idx="12">
                  <c:v>-135.99184982480119</c:v>
                </c:pt>
                <c:pt idx="13">
                  <c:v>-135.99180848006449</c:v>
                </c:pt>
                <c:pt idx="14">
                  <c:v>-135.99175643100128</c:v>
                </c:pt>
                <c:pt idx="15">
                  <c:v>-135.99169090650201</c:v>
                </c:pt>
                <c:pt idx="16">
                  <c:v>-135.99160841824616</c:v>
                </c:pt>
                <c:pt idx="17">
                  <c:v>-135.99150457517365</c:v>
                </c:pt>
                <c:pt idx="18">
                  <c:v>-135.99137385002007</c:v>
                </c:pt>
                <c:pt idx="19">
                  <c:v>-135.99120928556474</c:v>
                </c:pt>
                <c:pt idx="20">
                  <c:v>-135.99100212507676</c:v>
                </c:pt>
                <c:pt idx="21">
                  <c:v>-135.99074134748042</c:v>
                </c:pt>
                <c:pt idx="22">
                  <c:v>-135.99041308281062</c:v>
                </c:pt>
                <c:pt idx="23">
                  <c:v>-135.98999987733652</c:v>
                </c:pt>
                <c:pt idx="24">
                  <c:v>-135.98947977002788</c:v>
                </c:pt>
                <c:pt idx="25">
                  <c:v>-135.98882513246048</c:v>
                </c:pt>
                <c:pt idx="26">
                  <c:v>-135.98800121240441</c:v>
                </c:pt>
                <c:pt idx="27">
                  <c:v>-135.98696430673829</c:v>
                </c:pt>
                <c:pt idx="28">
                  <c:v>-135.98565947145292</c:v>
                </c:pt>
                <c:pt idx="29">
                  <c:v>-135.98401765479485</c:v>
                </c:pt>
                <c:pt idx="30">
                  <c:v>-135.98195211351958</c:v>
                </c:pt>
                <c:pt idx="31">
                  <c:v>-135.9793539413462</c:v>
                </c:pt>
                <c:pt idx="32">
                  <c:v>-135.9760865029248</c:v>
                </c:pt>
                <c:pt idx="33">
                  <c:v>-135.97197852637532</c:v>
                </c:pt>
                <c:pt idx="34">
                  <c:v>-135.96681556428166</c:v>
                </c:pt>
                <c:pt idx="35">
                  <c:v>-135.96032949024814</c:v>
                </c:pt>
                <c:pt idx="36">
                  <c:v>-135.95218566211997</c:v>
                </c:pt>
                <c:pt idx="37">
                  <c:v>-135.9419673648695</c:v>
                </c:pt>
                <c:pt idx="38">
                  <c:v>-135.92915716452313</c:v>
                </c:pt>
                <c:pt idx="39">
                  <c:v>-135.9131148890022</c:v>
                </c:pt>
                <c:pt idx="40">
                  <c:v>-135.89305214803159</c:v>
                </c:pt>
                <c:pt idx="41">
                  <c:v>-135.8680036800408</c:v>
                </c:pt>
                <c:pt idx="42">
                  <c:v>-135.83679646535688</c:v>
                </c:pt>
                <c:pt idx="43">
                  <c:v>-135.79801860118093</c:v>
                </c:pt>
                <c:pt idx="44">
                  <c:v>-135.74999155573059</c:v>
                </c:pt>
                <c:pt idx="45">
                  <c:v>-135.69075178381905</c:v>
                </c:pt>
                <c:pt idx="46">
                  <c:v>-135.61805094694972</c:v>
                </c:pt>
                <c:pt idx="47">
                  <c:v>-135.52938818576391</c:v>
                </c:pt>
                <c:pt idx="48">
                  <c:v>-135.42209285443124</c:v>
                </c:pt>
                <c:pt idx="49">
                  <c:v>-135.29348125203097</c:v>
                </c:pt>
                <c:pt idx="50">
                  <c:v>-135.14111500901311</c:v>
                </c:pt>
                <c:pt idx="51">
                  <c:v>-134.96319009730567</c:v>
                </c:pt>
                <c:pt idx="52">
                  <c:v>-134.75908158846079</c:v>
                </c:pt>
                <c:pt idx="53">
                  <c:v>-134.53005764236534</c:v>
                </c:pt>
                <c:pt idx="54">
                  <c:v>-134.28015374433059</c:v>
                </c:pt>
                <c:pt idx="55">
                  <c:v>-134.01716034860866</c:v>
                </c:pt>
                <c:pt idx="56">
                  <c:v>-133.75361533317135</c:v>
                </c:pt>
                <c:pt idx="57">
                  <c:v>-133.50759421475561</c:v>
                </c:pt>
                <c:pt idx="58">
                  <c:v>-133.30295043290153</c:v>
                </c:pt>
                <c:pt idx="59">
                  <c:v>-133.1685149805962</c:v>
                </c:pt>
                <c:pt idx="60">
                  <c:v>-133.13576190753241</c:v>
                </c:pt>
                <c:pt idx="61">
                  <c:v>-133.23482432813711</c:v>
                </c:pt>
                <c:pt idx="62">
                  <c:v>-133.48962038564042</c:v>
                </c:pt>
                <c:pt idx="63">
                  <c:v>-133.91380874367792</c:v>
                </c:pt>
                <c:pt idx="64">
                  <c:v>-134.50940747884039</c:v>
                </c:pt>
                <c:pt idx="65">
                  <c:v>-135.26868080884154</c:v>
                </c:pt>
                <c:pt idx="66">
                  <c:v>-136.17816705269348</c:v>
                </c:pt>
                <c:pt idx="67">
                  <c:v>-137.22290935158318</c:v>
                </c:pt>
                <c:pt idx="68">
                  <c:v>-138.3894587356487</c:v>
                </c:pt>
                <c:pt idx="69">
                  <c:v>-139.66726241070677</c:v>
                </c:pt>
                <c:pt idx="70">
                  <c:v>-141.0487916438118</c:v>
                </c:pt>
                <c:pt idx="71">
                  <c:v>-142.52898732387314</c:v>
                </c:pt>
                <c:pt idx="72">
                  <c:v>-144.10450311416216</c:v>
                </c:pt>
                <c:pt idx="73">
                  <c:v>-145.7730334219037</c:v>
                </c:pt>
                <c:pt idx="74">
                  <c:v>-147.5328427149029</c:v>
                </c:pt>
                <c:pt idx="75">
                  <c:v>-149.38249588994623</c:v>
                </c:pt>
                <c:pt idx="76">
                  <c:v>-151.32072511995941</c:v>
                </c:pt>
                <c:pt idx="77">
                  <c:v>-153.34634811598474</c:v>
                </c:pt>
                <c:pt idx="78">
                  <c:v>-155.4581656241167</c:v>
                </c:pt>
                <c:pt idx="79">
                  <c:v>-157.6548000016158</c:v>
                </c:pt>
                <c:pt idx="80">
                  <c:v>-159.93447818493064</c:v>
                </c:pt>
                <c:pt idx="81">
                  <c:v>-162.29479779413853</c:v>
                </c:pt>
                <c:pt idx="82">
                  <c:v>-164.73253372433686</c:v>
                </c:pt>
                <c:pt idx="83">
                  <c:v>-167.24353914212247</c:v>
                </c:pt>
                <c:pt idx="84">
                  <c:v>-169.82277185073991</c:v>
                </c:pt>
                <c:pt idx="85">
                  <c:v>-172.46444422220296</c:v>
                </c:pt>
                <c:pt idx="86">
                  <c:v>-175.16226509855994</c:v>
                </c:pt>
                <c:pt idx="87">
                  <c:v>-177.90972521380934</c:v>
                </c:pt>
                <c:pt idx="88">
                  <c:v>-180.70037692510317</c:v>
                </c:pt>
                <c:pt idx="89">
                  <c:v>-183.5280707579771</c:v>
                </c:pt>
                <c:pt idx="90">
                  <c:v>-186.38712846889149</c:v>
                </c:pt>
                <c:pt idx="91">
                  <c:v>-189.27244852253042</c:v>
                </c:pt>
                <c:pt idx="92">
                  <c:v>-192.17955132963465</c:v>
                </c:pt>
                <c:pt idx="93">
                  <c:v>-195.10457746342976</c:v>
                </c:pt>
                <c:pt idx="94">
                  <c:v>-198.0442534100433</c:v>
                </c:pt>
                <c:pt idx="95">
                  <c:v>-200.99583791285841</c:v>
                </c:pt>
                <c:pt idx="96">
                  <c:v>-203.95705919405611</c:v>
                </c:pt>
                <c:pt idx="97">
                  <c:v>-206.92605034815929</c:v>
                </c:pt>
                <c:pt idx="98">
                  <c:v>-209.90128758129018</c:v>
                </c:pt>
                <c:pt idx="99">
                  <c:v>-212.88153393463239</c:v>
                </c:pt>
                <c:pt idx="100">
                  <c:v>-215.8657896873184</c:v>
                </c:pt>
                <c:pt idx="101">
                  <c:v>-218.853249690014</c:v>
                </c:pt>
                <c:pt idx="102">
                  <c:v>-221.84326731507011</c:v>
                </c:pt>
                <c:pt idx="103">
                  <c:v>-224.83532440933817</c:v>
                </c:pt>
                <c:pt idx="104">
                  <c:v>-227.82900651037232</c:v>
                </c:pt>
                <c:pt idx="105">
                  <c:v>-230.82398256850936</c:v>
                </c:pt>
                <c:pt idx="106">
                  <c:v>-233.81998845961914</c:v>
                </c:pt>
                <c:pt idx="107">
                  <c:v>-236.81681364566737</c:v>
                </c:pt>
                <c:pt idx="108">
                  <c:v>-239.81429042366551</c:v>
                </c:pt>
                <c:pt idx="109">
                  <c:v>-242.81228528702866</c:v>
                </c:pt>
                <c:pt idx="110">
                  <c:v>-245.81069200088581</c:v>
                </c:pt>
                <c:pt idx="111">
                  <c:v>-248.80942606177345</c:v>
                </c:pt>
                <c:pt idx="112">
                  <c:v>-251.80842027156982</c:v>
                </c:pt>
                <c:pt idx="113">
                  <c:v>-254.80762120575986</c:v>
                </c:pt>
                <c:pt idx="114">
                  <c:v>-257.80698639796424</c:v>
                </c:pt>
                <c:pt idx="115">
                  <c:v>-260.80648209713581</c:v>
                </c:pt>
                <c:pt idx="116">
                  <c:v>-263.80608148199292</c:v>
                </c:pt>
                <c:pt idx="117">
                  <c:v>-266.80576324014049</c:v>
                </c:pt>
                <c:pt idx="118">
                  <c:v>-269.80551043781071</c:v>
                </c:pt>
                <c:pt idx="119">
                  <c:v>-272.80530962104854</c:v>
                </c:pt>
                <c:pt idx="120">
                  <c:v>-275.80515010111293</c:v>
                </c:pt>
              </c:numCache>
            </c:numRef>
          </c:yVal>
          <c:smooth val="1"/>
        </c:ser>
        <c:ser>
          <c:idx val="5"/>
          <c:order val="5"/>
          <c:tx>
            <c:v>rcp</c:v>
          </c:tx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'4thOrderClosedLoopPhaseNoise'!$T$8:$T$128</c:f>
              <c:numCache>
                <c:formatCode>0.00</c:formatCode>
                <c:ptCount val="121"/>
                <c:pt idx="0">
                  <c:v>-131.44778578686837</c:v>
                </c:pt>
                <c:pt idx="1">
                  <c:v>-131.44778317803292</c:v>
                </c:pt>
                <c:pt idx="2">
                  <c:v>-131.44777989370715</c:v>
                </c:pt>
                <c:pt idx="3">
                  <c:v>-131.44777575899153</c:v>
                </c:pt>
                <c:pt idx="4">
                  <c:v>-131.44777055370162</c:v>
                </c:pt>
                <c:pt idx="5">
                  <c:v>-131.44776400064376</c:v>
                </c:pt>
                <c:pt idx="6">
                  <c:v>-131.44775575085492</c:v>
                </c:pt>
                <c:pt idx="7">
                  <c:v>-131.44774536502075</c:v>
                </c:pt>
                <c:pt idx="8">
                  <c:v>-131.44773229008564</c:v>
                </c:pt>
                <c:pt idx="9">
                  <c:v>-131.44771582980516</c:v>
                </c:pt>
                <c:pt idx="10">
                  <c:v>-131.44769510767875</c:v>
                </c:pt>
                <c:pt idx="11">
                  <c:v>-131.44766902028732</c:v>
                </c:pt>
                <c:pt idx="12">
                  <c:v>-131.44763617855634</c:v>
                </c:pt>
                <c:pt idx="13">
                  <c:v>-131.44759483381964</c:v>
                </c:pt>
                <c:pt idx="14">
                  <c:v>-131.44754278475642</c:v>
                </c:pt>
                <c:pt idx="15">
                  <c:v>-131.44747726025716</c:v>
                </c:pt>
                <c:pt idx="16">
                  <c:v>-131.44739477200127</c:v>
                </c:pt>
                <c:pt idx="17">
                  <c:v>-131.44729092892877</c:v>
                </c:pt>
                <c:pt idx="18">
                  <c:v>-131.44716020377521</c:v>
                </c:pt>
                <c:pt idx="19">
                  <c:v>-131.44699563931988</c:v>
                </c:pt>
                <c:pt idx="20">
                  <c:v>-131.44678847883193</c:v>
                </c:pt>
                <c:pt idx="21">
                  <c:v>-131.4465277012356</c:v>
                </c:pt>
                <c:pt idx="22">
                  <c:v>-131.44619943656576</c:v>
                </c:pt>
                <c:pt idx="23">
                  <c:v>-131.44578623109166</c:v>
                </c:pt>
                <c:pt idx="24">
                  <c:v>-131.44526612378303</c:v>
                </c:pt>
                <c:pt idx="25">
                  <c:v>-131.44461148621562</c:v>
                </c:pt>
                <c:pt idx="26">
                  <c:v>-131.44378756615959</c:v>
                </c:pt>
                <c:pt idx="27">
                  <c:v>-131.44275066049343</c:v>
                </c:pt>
                <c:pt idx="28">
                  <c:v>-131.44144582520806</c:v>
                </c:pt>
                <c:pt idx="29">
                  <c:v>-131.43980400855003</c:v>
                </c:pt>
                <c:pt idx="30">
                  <c:v>-131.43773846727473</c:v>
                </c:pt>
                <c:pt idx="31">
                  <c:v>-131.43514029510135</c:v>
                </c:pt>
                <c:pt idx="32">
                  <c:v>-131.43187285667995</c:v>
                </c:pt>
                <c:pt idx="33">
                  <c:v>-131.4277648801305</c:v>
                </c:pt>
                <c:pt idx="34">
                  <c:v>-131.42260191803678</c:v>
                </c:pt>
                <c:pt idx="35">
                  <c:v>-131.41611584400329</c:v>
                </c:pt>
                <c:pt idx="36">
                  <c:v>-131.40797201587512</c:v>
                </c:pt>
                <c:pt idx="37">
                  <c:v>-131.39775371862464</c:v>
                </c:pt>
                <c:pt idx="38">
                  <c:v>-131.38494351827828</c:v>
                </c:pt>
                <c:pt idx="39">
                  <c:v>-131.36890124275735</c:v>
                </c:pt>
                <c:pt idx="40">
                  <c:v>-131.34883850178673</c:v>
                </c:pt>
                <c:pt idx="41">
                  <c:v>-131.32379003379594</c:v>
                </c:pt>
                <c:pt idx="42">
                  <c:v>-131.29258281911203</c:v>
                </c:pt>
                <c:pt idx="43">
                  <c:v>-131.25380495493607</c:v>
                </c:pt>
                <c:pt idx="44">
                  <c:v>-131.2057779094857</c:v>
                </c:pt>
                <c:pt idx="45">
                  <c:v>-131.14653813757423</c:v>
                </c:pt>
                <c:pt idx="46">
                  <c:v>-131.07383730070489</c:v>
                </c:pt>
                <c:pt idx="47">
                  <c:v>-130.98517453951905</c:v>
                </c:pt>
                <c:pt idx="48">
                  <c:v>-130.87787920818639</c:v>
                </c:pt>
                <c:pt idx="49">
                  <c:v>-130.74926760578612</c:v>
                </c:pt>
                <c:pt idx="50">
                  <c:v>-130.59690136276825</c:v>
                </c:pt>
                <c:pt idx="51">
                  <c:v>-130.41897645106081</c:v>
                </c:pt>
                <c:pt idx="52">
                  <c:v>-130.21486794221596</c:v>
                </c:pt>
                <c:pt idx="53">
                  <c:v>-129.98584399612048</c:v>
                </c:pt>
                <c:pt idx="54">
                  <c:v>-129.73594009808573</c:v>
                </c:pt>
                <c:pt idx="55">
                  <c:v>-129.47294670236377</c:v>
                </c:pt>
                <c:pt idx="56">
                  <c:v>-129.2094016869265</c:v>
                </c:pt>
                <c:pt idx="57">
                  <c:v>-128.96338056851073</c:v>
                </c:pt>
                <c:pt idx="58">
                  <c:v>-128.75873678665667</c:v>
                </c:pt>
                <c:pt idx="59">
                  <c:v>-128.62430133435134</c:v>
                </c:pt>
                <c:pt idx="60">
                  <c:v>-128.59154826128753</c:v>
                </c:pt>
                <c:pt idx="61">
                  <c:v>-128.69061068189228</c:v>
                </c:pt>
                <c:pt idx="62">
                  <c:v>-128.94540673939554</c:v>
                </c:pt>
                <c:pt idx="63">
                  <c:v>-129.36959509743303</c:v>
                </c:pt>
                <c:pt idx="64">
                  <c:v>-129.96519383259553</c:v>
                </c:pt>
                <c:pt idx="65">
                  <c:v>-130.72446716259668</c:v>
                </c:pt>
                <c:pt idx="66">
                  <c:v>-131.63395340644863</c:v>
                </c:pt>
                <c:pt idx="67">
                  <c:v>-132.67869570533833</c:v>
                </c:pt>
                <c:pt idx="68">
                  <c:v>-133.84524508940385</c:v>
                </c:pt>
                <c:pt idx="69">
                  <c:v>-135.12304876446191</c:v>
                </c:pt>
                <c:pt idx="70">
                  <c:v>-136.50457799756697</c:v>
                </c:pt>
                <c:pt idx="71">
                  <c:v>-137.98477367762831</c:v>
                </c:pt>
                <c:pt idx="72">
                  <c:v>-139.5602894679173</c:v>
                </c:pt>
                <c:pt idx="73">
                  <c:v>-141.22881977565885</c:v>
                </c:pt>
                <c:pt idx="74">
                  <c:v>-142.98862906865801</c:v>
                </c:pt>
                <c:pt idx="75">
                  <c:v>-144.83828224370137</c:v>
                </c:pt>
                <c:pt idx="76">
                  <c:v>-146.77651147371455</c:v>
                </c:pt>
                <c:pt idx="77">
                  <c:v>-148.80213446973988</c:v>
                </c:pt>
                <c:pt idx="78">
                  <c:v>-150.91395197787187</c:v>
                </c:pt>
                <c:pt idx="79">
                  <c:v>-153.11058635537094</c:v>
                </c:pt>
                <c:pt idx="80">
                  <c:v>-155.39026453868578</c:v>
                </c:pt>
                <c:pt idx="81">
                  <c:v>-157.75058414789368</c:v>
                </c:pt>
                <c:pt idx="82">
                  <c:v>-160.18832007809198</c:v>
                </c:pt>
                <c:pt idx="83">
                  <c:v>-162.69932549587762</c:v>
                </c:pt>
                <c:pt idx="84">
                  <c:v>-165.278558204495</c:v>
                </c:pt>
                <c:pt idx="85">
                  <c:v>-167.9202305759581</c:v>
                </c:pt>
                <c:pt idx="86">
                  <c:v>-170.61805145231511</c:v>
                </c:pt>
                <c:pt idx="87">
                  <c:v>-173.36551156756451</c:v>
                </c:pt>
                <c:pt idx="88">
                  <c:v>-176.15616327885834</c:v>
                </c:pt>
                <c:pt idx="89">
                  <c:v>-178.98385711173222</c:v>
                </c:pt>
                <c:pt idx="90">
                  <c:v>-181.84291482264666</c:v>
                </c:pt>
                <c:pt idx="91">
                  <c:v>-184.7282348762856</c:v>
                </c:pt>
                <c:pt idx="92">
                  <c:v>-187.63533768338976</c:v>
                </c:pt>
                <c:pt idx="93">
                  <c:v>-190.56036381718488</c:v>
                </c:pt>
                <c:pt idx="94">
                  <c:v>-193.50003976379841</c:v>
                </c:pt>
                <c:pt idx="95">
                  <c:v>-196.45162426661355</c:v>
                </c:pt>
                <c:pt idx="96">
                  <c:v>-199.41284554781123</c:v>
                </c:pt>
                <c:pt idx="97">
                  <c:v>-202.38183670191447</c:v>
                </c:pt>
                <c:pt idx="98">
                  <c:v>-205.35707393504532</c:v>
                </c:pt>
                <c:pt idx="99">
                  <c:v>-208.33732028838753</c:v>
                </c:pt>
                <c:pt idx="100">
                  <c:v>-211.32157604107357</c:v>
                </c:pt>
                <c:pt idx="101">
                  <c:v>-214.30903604376911</c:v>
                </c:pt>
                <c:pt idx="102">
                  <c:v>-217.29905366882522</c:v>
                </c:pt>
                <c:pt idx="103">
                  <c:v>-220.29111076309331</c:v>
                </c:pt>
                <c:pt idx="104">
                  <c:v>-223.28479286412744</c:v>
                </c:pt>
                <c:pt idx="105">
                  <c:v>-226.27976892226451</c:v>
                </c:pt>
                <c:pt idx="106">
                  <c:v>-229.27577481337426</c:v>
                </c:pt>
                <c:pt idx="107">
                  <c:v>-232.27259999942248</c:v>
                </c:pt>
                <c:pt idx="108">
                  <c:v>-235.27007677742063</c:v>
                </c:pt>
                <c:pt idx="109">
                  <c:v>-238.26807164078383</c:v>
                </c:pt>
                <c:pt idx="110">
                  <c:v>-241.26647835464095</c:v>
                </c:pt>
                <c:pt idx="111">
                  <c:v>-244.26521241552859</c:v>
                </c:pt>
                <c:pt idx="112">
                  <c:v>-247.26420662532493</c:v>
                </c:pt>
                <c:pt idx="113">
                  <c:v>-250.26340755951497</c:v>
                </c:pt>
                <c:pt idx="114">
                  <c:v>-253.26277275171944</c:v>
                </c:pt>
                <c:pt idx="115">
                  <c:v>-256.26226845089099</c:v>
                </c:pt>
                <c:pt idx="116">
                  <c:v>-259.26186783574803</c:v>
                </c:pt>
                <c:pt idx="117">
                  <c:v>-262.26154959389567</c:v>
                </c:pt>
                <c:pt idx="118">
                  <c:v>-265.26129679156588</c:v>
                </c:pt>
                <c:pt idx="119">
                  <c:v>-268.26109597480365</c:v>
                </c:pt>
                <c:pt idx="120">
                  <c:v>-271.26093645486804</c:v>
                </c:pt>
              </c:numCache>
            </c:numRef>
          </c:yVal>
          <c:smooth val="1"/>
        </c:ser>
        <c:ser>
          <c:idx val="6"/>
          <c:order val="6"/>
          <c:tx>
            <c:v>lpf</c:v>
          </c:tx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'4thOrderClosedLoopPhaseNoise'!$V$8:$V$128</c:f>
              <c:numCache>
                <c:formatCode>0.00</c:formatCode>
                <c:ptCount val="121"/>
                <c:pt idx="0">
                  <c:v>-181.99930646466967</c:v>
                </c:pt>
                <c:pt idx="1">
                  <c:v>-180.999306960507</c:v>
                </c:pt>
                <c:pt idx="2">
                  <c:v>-179.99930758472942</c:v>
                </c:pt>
                <c:pt idx="3">
                  <c:v>-178.99930837057946</c:v>
                </c:pt>
                <c:pt idx="4">
                  <c:v>-177.99930935990662</c:v>
                </c:pt>
                <c:pt idx="5">
                  <c:v>-176.99931060539708</c:v>
                </c:pt>
                <c:pt idx="6">
                  <c:v>-175.9993121733786</c:v>
                </c:pt>
                <c:pt idx="7">
                  <c:v>-174.99931414735312</c:v>
                </c:pt>
                <c:pt idx="8">
                  <c:v>-173.99931663244462</c:v>
                </c:pt>
                <c:pt idx="9">
                  <c:v>-172.99931976099671</c:v>
                </c:pt>
                <c:pt idx="10">
                  <c:v>-171.99932369962232</c:v>
                </c:pt>
                <c:pt idx="11">
                  <c:v>-170.99932865807671</c:v>
                </c:pt>
                <c:pt idx="12">
                  <c:v>-169.99933490043071</c:v>
                </c:pt>
                <c:pt idx="13">
                  <c:v>-168.9993427591354</c:v>
                </c:pt>
                <c:pt idx="14">
                  <c:v>-167.99935265273263</c:v>
                </c:pt>
                <c:pt idx="15">
                  <c:v>-166.99936510815115</c:v>
                </c:pt>
                <c:pt idx="16">
                  <c:v>-165.99938078878026</c:v>
                </c:pt>
                <c:pt idx="17">
                  <c:v>-164.99940052981802</c:v>
                </c:pt>
                <c:pt idx="18">
                  <c:v>-163.99942538278</c:v>
                </c:pt>
                <c:pt idx="19">
                  <c:v>-162.99945667154691</c:v>
                </c:pt>
                <c:pt idx="20">
                  <c:v>-161.99949606294612</c:v>
                </c:pt>
                <c:pt idx="21">
                  <c:v>-160.99954565564212</c:v>
                </c:pt>
                <c:pt idx="22">
                  <c:v>-159.99960809209941</c:v>
                </c:pt>
                <c:pt idx="23">
                  <c:v>-158.99968669962053</c:v>
                </c:pt>
                <c:pt idx="24">
                  <c:v>-157.99978566804089</c:v>
                </c:pt>
                <c:pt idx="25">
                  <c:v>-156.99991027365078</c:v>
                </c:pt>
                <c:pt idx="26">
                  <c:v>-156.00006716144119</c:v>
                </c:pt>
                <c:pt idx="27">
                  <c:v>-155.00026470097777</c:v>
                </c:pt>
                <c:pt idx="28">
                  <c:v>-154.00051343528528</c:v>
                </c:pt>
                <c:pt idx="29">
                  <c:v>-153.00082664733188</c:v>
                </c:pt>
                <c:pt idx="30">
                  <c:v>-152.00122107536362</c:v>
                </c:pt>
                <c:pt idx="31">
                  <c:v>-151.00171781689863</c:v>
                </c:pt>
                <c:pt idx="32">
                  <c:v>-150.0023434722371</c:v>
                </c:pt>
                <c:pt idx="33">
                  <c:v>-149.0031315926785</c:v>
                </c:pt>
                <c:pt idx="34">
                  <c:v>-148.00412451736429</c:v>
                </c:pt>
                <c:pt idx="35">
                  <c:v>-147.00537570730523</c:v>
                </c:pt>
                <c:pt idx="36">
                  <c:v>-146.00695271785921</c:v>
                </c:pt>
                <c:pt idx="37">
                  <c:v>-145.00894099473678</c:v>
                </c:pt>
                <c:pt idx="38">
                  <c:v>-144.01144873791836</c:v>
                </c:pt>
                <c:pt idx="39">
                  <c:v>-143.01461315899033</c:v>
                </c:pt>
                <c:pt idx="40">
                  <c:v>-142.01860856962736</c:v>
                </c:pt>
                <c:pt idx="41">
                  <c:v>-141.02365689580978</c:v>
                </c:pt>
                <c:pt idx="42">
                  <c:v>-140.03004143384265</c:v>
                </c:pt>
                <c:pt idx="43">
                  <c:v>-139.03812497957873</c:v>
                </c:pt>
                <c:pt idx="44">
                  <c:v>-138.04837391411954</c:v>
                </c:pt>
                <c:pt idx="45">
                  <c:v>-137.06139047904253</c:v>
                </c:pt>
                <c:pt idx="46">
                  <c:v>-136.07795640816522</c:v>
                </c:pt>
                <c:pt idx="47">
                  <c:v>-135.09909241758126</c:v>
                </c:pt>
                <c:pt idx="48">
                  <c:v>-134.12613993771856</c:v>
                </c:pt>
                <c:pt idx="49">
                  <c:v>-133.16087405908075</c:v>
                </c:pt>
                <c:pt idx="50">
                  <c:v>-132.20566006572452</c:v>
                </c:pt>
                <c:pt idx="51">
                  <c:v>-131.26367004455719</c:v>
                </c:pt>
                <c:pt idx="52">
                  <c:v>-130.33918020496483</c:v>
                </c:pt>
                <c:pt idx="53">
                  <c:v>-129.43797172456891</c:v>
                </c:pt>
                <c:pt idx="54">
                  <c:v>-128.56785350586239</c:v>
                </c:pt>
                <c:pt idx="55">
                  <c:v>-127.73930494037668</c:v>
                </c:pt>
                <c:pt idx="56">
                  <c:v>-126.96618516767495</c:v>
                </c:pt>
                <c:pt idx="57">
                  <c:v>-126.26635316311643</c:v>
                </c:pt>
                <c:pt idx="58">
                  <c:v>-125.66188285426048</c:v>
                </c:pt>
                <c:pt idx="59">
                  <c:v>-125.17838401761333</c:v>
                </c:pt>
                <c:pt idx="60">
                  <c:v>-124.84290583607667</c:v>
                </c:pt>
                <c:pt idx="61">
                  <c:v>-124.68025687481997</c:v>
                </c:pt>
                <c:pt idx="62">
                  <c:v>-124.70844445874397</c:v>
                </c:pt>
                <c:pt idx="63">
                  <c:v>-124.93490548200852</c:v>
                </c:pt>
                <c:pt idx="64">
                  <c:v>-125.35533243636435</c:v>
                </c:pt>
                <c:pt idx="65">
                  <c:v>-125.95568799310084</c:v>
                </c:pt>
                <c:pt idx="66">
                  <c:v>-126.71628603240029</c:v>
                </c:pt>
                <c:pt idx="67">
                  <c:v>-127.61601550502391</c:v>
                </c:pt>
                <c:pt idx="68">
                  <c:v>-128.63529722802087</c:v>
                </c:pt>
                <c:pt idx="69">
                  <c:v>-129.75740957703289</c:v>
                </c:pt>
                <c:pt idx="70">
                  <c:v>-130.96856155214735</c:v>
                </c:pt>
                <c:pt idx="71">
                  <c:v>-132.25731556892899</c:v>
                </c:pt>
                <c:pt idx="72">
                  <c:v>-133.61386314523438</c:v>
                </c:pt>
                <c:pt idx="73">
                  <c:v>-135.02946032170237</c:v>
                </c:pt>
                <c:pt idx="74">
                  <c:v>-136.49615067620522</c:v>
                </c:pt>
                <c:pt idx="75">
                  <c:v>-138.00677243315872</c:v>
                </c:pt>
                <c:pt idx="76">
                  <c:v>-139.5551614619522</c:v>
                </c:pt>
                <c:pt idx="77">
                  <c:v>-141.1364190051992</c:v>
                </c:pt>
                <c:pt idx="78">
                  <c:v>-142.74710898400886</c:v>
                </c:pt>
                <c:pt idx="79">
                  <c:v>-144.38528146759032</c:v>
                </c:pt>
                <c:pt idx="80">
                  <c:v>-146.05027815874254</c:v>
                </c:pt>
                <c:pt idx="81">
                  <c:v>-147.74234622674271</c:v>
                </c:pt>
                <c:pt idx="82">
                  <c:v>-149.46214599300598</c:v>
                </c:pt>
                <c:pt idx="83">
                  <c:v>-151.21026540661506</c:v>
                </c:pt>
                <c:pt idx="84">
                  <c:v>-152.98684200784248</c:v>
                </c:pt>
                <c:pt idx="85">
                  <c:v>-154.79135034362284</c:v>
                </c:pt>
                <c:pt idx="86">
                  <c:v>-156.62256033375073</c:v>
                </c:pt>
                <c:pt idx="87">
                  <c:v>-158.47863051147874</c:v>
                </c:pt>
                <c:pt idx="88">
                  <c:v>-160.35728030603534</c:v>
                </c:pt>
                <c:pt idx="89">
                  <c:v>-162.255986820808</c:v>
                </c:pt>
                <c:pt idx="90">
                  <c:v>-164.17216583266864</c:v>
                </c:pt>
                <c:pt idx="91">
                  <c:v>-166.10331477569366</c:v>
                </c:pt>
                <c:pt idx="92">
                  <c:v>-168.04711087768428</c:v>
                </c:pt>
                <c:pt idx="93">
                  <c:v>-170.00146774974837</c:v>
                </c:pt>
                <c:pt idx="94">
                  <c:v>-171.96455870953645</c:v>
                </c:pt>
                <c:pt idx="95">
                  <c:v>-173.93481635743495</c:v>
                </c:pt>
                <c:pt idx="96">
                  <c:v>-175.91091701812957</c:v>
                </c:pt>
                <c:pt idx="97">
                  <c:v>-177.89175685265693</c:v>
                </c:pt>
                <c:pt idx="98">
                  <c:v>-179.87642451147363</c:v>
                </c:pt>
                <c:pt idx="99">
                  <c:v>-181.86417352036258</c:v>
                </c:pt>
                <c:pt idx="100">
                  <c:v>-183.85439629721958</c:v>
                </c:pt>
                <c:pt idx="101">
                  <c:v>-185.84660078134092</c:v>
                </c:pt>
                <c:pt idx="102">
                  <c:v>-187.84039005253408</c:v>
                </c:pt>
                <c:pt idx="103">
                  <c:v>-189.83544494687573</c:v>
                </c:pt>
                <c:pt idx="104">
                  <c:v>-191.83150946859783</c:v>
                </c:pt>
                <c:pt idx="105">
                  <c:v>-193.82837869764074</c:v>
                </c:pt>
                <c:pt idx="106">
                  <c:v>-195.82588885919787</c:v>
                </c:pt>
                <c:pt idx="107">
                  <c:v>-197.82390922717741</c:v>
                </c:pt>
                <c:pt idx="108">
                  <c:v>-199.82233555962509</c:v>
                </c:pt>
                <c:pt idx="109">
                  <c:v>-201.82108479933706</c:v>
                </c:pt>
                <c:pt idx="110">
                  <c:v>-203.82009081036307</c:v>
                </c:pt>
                <c:pt idx="111">
                  <c:v>-205.81930095707077</c:v>
                </c:pt>
                <c:pt idx="112">
                  <c:v>-207.818673365032</c:v>
                </c:pt>
                <c:pt idx="113">
                  <c:v>-209.81817473147802</c:v>
                </c:pt>
                <c:pt idx="114">
                  <c:v>-211.81777857735295</c:v>
                </c:pt>
                <c:pt idx="115">
                  <c:v>-213.81746385334827</c:v>
                </c:pt>
                <c:pt idx="116">
                  <c:v>-215.8172138291456</c:v>
                </c:pt>
                <c:pt idx="117">
                  <c:v>-217.81701520890482</c:v>
                </c:pt>
                <c:pt idx="118">
                  <c:v>-219.81685742727649</c:v>
                </c:pt>
                <c:pt idx="119">
                  <c:v>-221.81673208932494</c:v>
                </c:pt>
                <c:pt idx="120">
                  <c:v>-223.81663252508753</c:v>
                </c:pt>
              </c:numCache>
            </c:numRef>
          </c:yVal>
          <c:smooth val="1"/>
        </c:ser>
        <c:ser>
          <c:idx val="7"/>
          <c:order val="7"/>
          <c:tx>
            <c:v>op amp</c:v>
          </c:tx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'4thOrderClosedLoopPhaseNoise'!$AC$8:$AC$128</c:f>
              <c:numCache>
                <c:formatCode>General</c:formatCode>
                <c:ptCount val="121"/>
                <c:pt idx="0">
                  <c:v>-139.41782010109262</c:v>
                </c:pt>
                <c:pt idx="1">
                  <c:v>-139.41781642466378</c:v>
                </c:pt>
                <c:pt idx="2">
                  <c:v>-139.41781179632002</c:v>
                </c:pt>
                <c:pt idx="3">
                  <c:v>-139.41780596958995</c:v>
                </c:pt>
                <c:pt idx="4">
                  <c:v>-139.41779863418648</c:v>
                </c:pt>
                <c:pt idx="5">
                  <c:v>-139.41778939948446</c:v>
                </c:pt>
                <c:pt idx="6">
                  <c:v>-139.4177777737215</c:v>
                </c:pt>
                <c:pt idx="7">
                  <c:v>-139.4177631378127</c:v>
                </c:pt>
                <c:pt idx="8">
                  <c:v>-139.41774471239023</c:v>
                </c:pt>
                <c:pt idx="9">
                  <c:v>-139.41772151630821</c:v>
                </c:pt>
                <c:pt idx="10">
                  <c:v>-139.41769231440983</c:v>
                </c:pt>
                <c:pt idx="11">
                  <c:v>-139.41765555177585</c:v>
                </c:pt>
                <c:pt idx="12">
                  <c:v>-139.41760927096146</c:v>
                </c:pt>
                <c:pt idx="13">
                  <c:v>-139.41755100781779</c:v>
                </c:pt>
                <c:pt idx="14">
                  <c:v>-139.41747766037119</c:v>
                </c:pt>
                <c:pt idx="15">
                  <c:v>-139.41738532379273</c:v>
                </c:pt>
                <c:pt idx="16">
                  <c:v>-139.41726908270871</c:v>
                </c:pt>
                <c:pt idx="17">
                  <c:v>-139.41712274984673</c:v>
                </c:pt>
                <c:pt idx="18">
                  <c:v>-139.41693853718493</c:v>
                </c:pt>
                <c:pt idx="19">
                  <c:v>-139.41670664223349</c:v>
                </c:pt>
                <c:pt idx="20">
                  <c:v>-139.41641472763601</c:v>
                </c:pt>
                <c:pt idx="21">
                  <c:v>-139.41604726672446</c:v>
                </c:pt>
                <c:pt idx="22">
                  <c:v>-139.41558472073243</c:v>
                </c:pt>
                <c:pt idx="23">
                  <c:v>-139.41500250472143</c:v>
                </c:pt>
                <c:pt idx="24">
                  <c:v>-139.41426968854</c:v>
                </c:pt>
                <c:pt idx="25">
                  <c:v>-139.41334736582667</c:v>
                </c:pt>
                <c:pt idx="26">
                  <c:v>-139.41218660766836</c:v>
                </c:pt>
                <c:pt idx="27">
                  <c:v>-139.41072589742086</c:v>
                </c:pt>
                <c:pt idx="28">
                  <c:v>-139.40888791874852</c:v>
                </c:pt>
                <c:pt idx="29">
                  <c:v>-139.40657553951007</c:v>
                </c:pt>
                <c:pt idx="30">
                  <c:v>-139.40366679919288</c:v>
                </c:pt>
                <c:pt idx="31">
                  <c:v>-139.40000866694118</c:v>
                </c:pt>
                <c:pt idx="32">
                  <c:v>-139.39540929123248</c:v>
                </c:pt>
                <c:pt idx="33">
                  <c:v>-139.38962841238614</c:v>
                </c:pt>
                <c:pt idx="34">
                  <c:v>-139.38236555875994</c:v>
                </c:pt>
                <c:pt idx="35">
                  <c:v>-139.37324560319257</c:v>
                </c:pt>
                <c:pt idx="36">
                  <c:v>-139.3618012295336</c:v>
                </c:pt>
                <c:pt idx="37">
                  <c:v>-139.34745186912534</c:v>
                </c:pt>
                <c:pt idx="38">
                  <c:v>-139.3294787444334</c:v>
                </c:pt>
                <c:pt idx="39">
                  <c:v>-139.30699584840633</c:v>
                </c:pt>
                <c:pt idx="40">
                  <c:v>-139.27891706213819</c:v>
                </c:pt>
                <c:pt idx="41">
                  <c:v>-139.24392026571942</c:v>
                </c:pt>
                <c:pt idx="42">
                  <c:v>-139.20041035315327</c:v>
                </c:pt>
                <c:pt idx="43">
                  <c:v>-139.14648467132159</c:v>
                </c:pt>
                <c:pt idx="44">
                  <c:v>-139.07990671667446</c:v>
                </c:pt>
                <c:pt idx="45">
                  <c:v>-138.99809704446554</c:v>
                </c:pt>
                <c:pt idx="46">
                  <c:v>-138.89815423717585</c:v>
                </c:pt>
                <c:pt idx="47">
                  <c:v>-138.77692313075494</c:v>
                </c:pt>
                <c:pt idx="48">
                  <c:v>-138.63113157443041</c:v>
                </c:pt>
                <c:pt idx="49">
                  <c:v>-138.45761955336241</c:v>
                </c:pt>
                <c:pt idx="50">
                  <c:v>-138.25368388013496</c:v>
                </c:pt>
                <c:pt idx="51">
                  <c:v>-138.01755624428341</c:v>
                </c:pt>
                <c:pt idx="52">
                  <c:v>-137.74902133772844</c:v>
                </c:pt>
                <c:pt idx="53">
                  <c:v>-137.45016542386389</c:v>
                </c:pt>
                <c:pt idx="54">
                  <c:v>-137.12622485871867</c:v>
                </c:pt>
                <c:pt idx="55">
                  <c:v>-136.78647663095217</c:v>
                </c:pt>
                <c:pt idx="56">
                  <c:v>-136.44506913267878</c:v>
                </c:pt>
                <c:pt idx="57">
                  <c:v>-136.12161218529562</c:v>
                </c:pt>
                <c:pt idx="58">
                  <c:v>-135.84121683253903</c:v>
                </c:pt>
                <c:pt idx="59">
                  <c:v>-135.63353138477029</c:v>
                </c:pt>
                <c:pt idx="60">
                  <c:v>-135.53030380386014</c:v>
                </c:pt>
                <c:pt idx="61">
                  <c:v>-135.56135896543273</c:v>
                </c:pt>
                <c:pt idx="62">
                  <c:v>-135.74973696310289</c:v>
                </c:pt>
                <c:pt idx="63">
                  <c:v>-136.10768960910499</c:v>
                </c:pt>
                <c:pt idx="64">
                  <c:v>-136.63534630880423</c:v>
                </c:pt>
                <c:pt idx="65">
                  <c:v>-137.32263689794948</c:v>
                </c:pt>
                <c:pt idx="66">
                  <c:v>-138.15333630918619</c:v>
                </c:pt>
                <c:pt idx="67">
                  <c:v>-139.10929214921012</c:v>
                </c:pt>
                <c:pt idx="68">
                  <c:v>-140.17341099848599</c:v>
                </c:pt>
                <c:pt idx="69">
                  <c:v>-141.33102774105282</c:v>
                </c:pt>
                <c:pt idx="70">
                  <c:v>-142.57002779520428</c:v>
                </c:pt>
                <c:pt idx="71">
                  <c:v>-143.88031876315367</c:v>
                </c:pt>
                <c:pt idx="72">
                  <c:v>-145.25315104164497</c:v>
                </c:pt>
                <c:pt idx="73">
                  <c:v>-146.68059219423247</c:v>
                </c:pt>
                <c:pt idx="74">
                  <c:v>-148.15528196236707</c:v>
                </c:pt>
                <c:pt idx="75">
                  <c:v>-149.67046406718114</c:v>
                </c:pt>
                <c:pt idx="76">
                  <c:v>-151.22020657823361</c:v>
                </c:pt>
                <c:pt idx="77">
                  <c:v>-152.79967979833458</c:v>
                </c:pt>
                <c:pt idx="78">
                  <c:v>-154.40535661903843</c:v>
                </c:pt>
                <c:pt idx="79">
                  <c:v>-156.0350319725278</c:v>
                </c:pt>
                <c:pt idx="80">
                  <c:v>-157.68761718143722</c:v>
                </c:pt>
                <c:pt idx="81">
                  <c:v>-159.36273542540445</c:v>
                </c:pt>
                <c:pt idx="82">
                  <c:v>-161.06020372955481</c:v>
                </c:pt>
                <c:pt idx="83">
                  <c:v>-162.77951446122361</c:v>
                </c:pt>
                <c:pt idx="84">
                  <c:v>-164.51941744841153</c:v>
                </c:pt>
                <c:pt idx="85">
                  <c:v>-166.27766178367153</c:v>
                </c:pt>
                <c:pt idx="86">
                  <c:v>-168.05090503287437</c:v>
                </c:pt>
                <c:pt idx="87">
                  <c:v>-169.83475766575276</c:v>
                </c:pt>
                <c:pt idx="88">
                  <c:v>-171.62391305818659</c:v>
                </c:pt>
                <c:pt idx="89">
                  <c:v>-173.41231753732876</c:v>
                </c:pt>
                <c:pt idx="90">
                  <c:v>-175.1933522561277</c:v>
                </c:pt>
                <c:pt idx="91">
                  <c:v>-176.96001921796227</c:v>
                </c:pt>
                <c:pt idx="92">
                  <c:v>-178.70513984710323</c:v>
                </c:pt>
                <c:pt idx="93">
                  <c:v>-180.4215817655292</c:v>
                </c:pt>
                <c:pt idx="94">
                  <c:v>-182.10252635142837</c:v>
                </c:pt>
                <c:pt idx="95">
                  <c:v>-183.74177699208346</c:v>
                </c:pt>
                <c:pt idx="96">
                  <c:v>-185.33408893710359</c:v>
                </c:pt>
                <c:pt idx="97">
                  <c:v>-186.87548224147082</c:v>
                </c:pt>
                <c:pt idx="98">
                  <c:v>-188.36348720727608</c:v>
                </c:pt>
                <c:pt idx="99">
                  <c:v>-189.79727377138624</c:v>
                </c:pt>
                <c:pt idx="100">
                  <c:v>-191.17763449485889</c:v>
                </c:pt>
                <c:pt idx="101">
                  <c:v>-192.50682027499022</c:v>
                </c:pt>
                <c:pt idx="102">
                  <c:v>-193.78825832991583</c:v>
                </c:pt>
                <c:pt idx="103">
                  <c:v>-195.02620276193571</c:v>
                </c:pt>
                <c:pt idx="104">
                  <c:v>-196.22537334534431</c:v>
                </c:pt>
                <c:pt idx="105">
                  <c:v>-197.39062925325078</c:v>
                </c:pt>
                <c:pt idx="106">
                  <c:v>-198.52670727805935</c:v>
                </c:pt>
                <c:pt idx="107">
                  <c:v>-199.63803577224013</c:v>
                </c:pt>
                <c:pt idx="108">
                  <c:v>-200.72862104983656</c:v>
                </c:pt>
                <c:pt idx="109">
                  <c:v>-201.80199430028682</c:v>
                </c:pt>
                <c:pt idx="110">
                  <c:v>-202.86120372797592</c:v>
                </c:pt>
                <c:pt idx="111">
                  <c:v>-203.90883703743373</c:v>
                </c:pt>
                <c:pt idx="112">
                  <c:v>-204.94706179580476</c:v>
                </c:pt>
                <c:pt idx="113">
                  <c:v>-205.97767428232416</c:v>
                </c:pt>
                <c:pt idx="114">
                  <c:v>-207.00215036692779</c:v>
                </c:pt>
                <c:pt idx="115">
                  <c:v>-208.02169437078879</c:v>
                </c:pt>
                <c:pt idx="116">
                  <c:v>-209.03728365780546</c:v>
                </c:pt>
                <c:pt idx="117">
                  <c:v>-210.04970794374219</c:v>
                </c:pt>
                <c:pt idx="118">
                  <c:v>-211.05960310219359</c:v>
                </c:pt>
                <c:pt idx="119">
                  <c:v>-212.06747971340175</c:v>
                </c:pt>
                <c:pt idx="120">
                  <c:v>-213.07374684605401</c:v>
                </c:pt>
              </c:numCache>
            </c:numRef>
          </c:yVal>
          <c:smooth val="1"/>
        </c:ser>
        <c:ser>
          <c:idx val="8"/>
          <c:order val="8"/>
          <c:tx>
            <c:v>DSM</c:v>
          </c:tx>
          <c:marker>
            <c:symbol val="none"/>
          </c:marker>
          <c:xVal>
            <c:numRef>
              <c:f>'4thOrderClosedLoopPhaseNoise'!$E$8:$E$128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'4thOrderClosedLoopPhaseNoise'!$AG$8:$AG$128</c:f>
              <c:numCache>
                <c:formatCode>0.00</c:formatCode>
                <c:ptCount val="121"/>
                <c:pt idx="0">
                  <c:v>-267.84686441976658</c:v>
                </c:pt>
                <c:pt idx="1">
                  <c:v>-265.84783814084227</c:v>
                </c:pt>
                <c:pt idx="2">
                  <c:v>-263.84845099180916</c:v>
                </c:pt>
                <c:pt idx="3">
                  <c:v>-261.84883565702188</c:v>
                </c:pt>
                <c:pt idx="4">
                  <c:v>-259.84907578571222</c:v>
                </c:pt>
                <c:pt idx="5">
                  <c:v>-257.84922403499598</c:v>
                </c:pt>
                <c:pt idx="6">
                  <c:v>-255.84931346168514</c:v>
                </c:pt>
                <c:pt idx="7">
                  <c:v>-253.84936470666614</c:v>
                </c:pt>
                <c:pt idx="8">
                  <c:v>-251.84939051861861</c:v>
                </c:pt>
                <c:pt idx="9">
                  <c:v>-249.84939859453661</c:v>
                </c:pt>
                <c:pt idx="10">
                  <c:v>-247.84939335386071</c:v>
                </c:pt>
                <c:pt idx="11">
                  <c:v>-245.8493770347543</c:v>
                </c:pt>
                <c:pt idx="12">
                  <c:v>-243.84935035657094</c:v>
                </c:pt>
                <c:pt idx="13">
                  <c:v>-241.84931290099198</c:v>
                </c:pt>
                <c:pt idx="14">
                  <c:v>-239.84926330610472</c:v>
                </c:pt>
                <c:pt idx="15">
                  <c:v>-237.84919933044699</c:v>
                </c:pt>
                <c:pt idx="16">
                  <c:v>-235.84911781990303</c:v>
                </c:pt>
                <c:pt idx="17">
                  <c:v>-233.84901459430625</c:v>
                </c:pt>
                <c:pt idx="18">
                  <c:v>-231.84888425948827</c:v>
                </c:pt>
                <c:pt idx="19">
                  <c:v>-229.84871994224548</c:v>
                </c:pt>
                <c:pt idx="20">
                  <c:v>-227.84851293890745</c:v>
                </c:pt>
                <c:pt idx="21">
                  <c:v>-225.84825226193968</c:v>
                </c:pt>
                <c:pt idx="22">
                  <c:v>-223.84792406261866</c:v>
                </c:pt>
                <c:pt idx="23">
                  <c:v>-221.84751090071498</c:v>
                </c:pt>
                <c:pt idx="24">
                  <c:v>-219.84699082384162</c:v>
                </c:pt>
                <c:pt idx="25">
                  <c:v>-217.84633620918476</c:v>
                </c:pt>
                <c:pt idx="26">
                  <c:v>-215.84551230825178</c:v>
                </c:pt>
                <c:pt idx="27">
                  <c:v>-213.844475420528</c:v>
                </c:pt>
                <c:pt idx="28">
                  <c:v>-211.84317060396182</c:v>
                </c:pt>
                <c:pt idx="29">
                  <c:v>-209.8415288084291</c:v>
                </c:pt>
                <c:pt idx="30">
                  <c:v>-207.83946329220893</c:v>
                </c:pt>
                <c:pt idx="31">
                  <c:v>-205.83686515060674</c:v>
                </c:pt>
                <c:pt idx="32">
                  <c:v>-203.83359775005931</c:v>
                </c:pt>
                <c:pt idx="33">
                  <c:v>-201.82948982080381</c:v>
                </c:pt>
                <c:pt idx="34">
                  <c:v>-199.82432691800594</c:v>
                </c:pt>
                <c:pt idx="35">
                  <c:v>-197.81784091846757</c:v>
                </c:pt>
                <c:pt idx="36">
                  <c:v>-195.80969718402625</c:v>
                </c:pt>
                <c:pt idx="37">
                  <c:v>-193.79947900465939</c:v>
                </c:pt>
                <c:pt idx="38">
                  <c:v>-191.78666895268117</c:v>
                </c:pt>
                <c:pt idx="39">
                  <c:v>-189.77062686392028</c:v>
                </c:pt>
                <c:pt idx="40">
                  <c:v>-187.75056435805141</c:v>
                </c:pt>
                <c:pt idx="41">
                  <c:v>-185.72551618602645</c:v>
                </c:pt>
                <c:pt idx="42">
                  <c:v>-183.69430934393546</c:v>
                </c:pt>
                <c:pt idx="43">
                  <c:v>-181.65553194882227</c:v>
                </c:pt>
                <c:pt idx="44">
                  <c:v>-179.60750549388464</c:v>
                </c:pt>
                <c:pt idx="45">
                  <c:v>-177.54826646538308</c:v>
                </c:pt>
                <c:pt idx="46">
                  <c:v>-175.47556656441054</c:v>
                </c:pt>
                <c:pt idx="47">
                  <c:v>-173.38690498144831</c:v>
                </c:pt>
                <c:pt idx="48">
                  <c:v>-171.27961113341098</c:v>
                </c:pt>
                <c:pt idx="49">
                  <c:v>-169.15100139836881</c:v>
                </c:pt>
                <c:pt idx="50">
                  <c:v>-166.99863750621543</c:v>
                </c:pt>
                <c:pt idx="51">
                  <c:v>-164.82071555407106</c:v>
                </c:pt>
                <c:pt idx="52">
                  <c:v>-162.61661077109568</c:v>
                </c:pt>
                <c:pt idx="53">
                  <c:v>-160.38759151559233</c:v>
                </c:pt>
                <c:pt idx="54">
                  <c:v>-158.13769352266391</c:v>
                </c:pt>
                <c:pt idx="55">
                  <c:v>-155.87470756103156</c:v>
                </c:pt>
                <c:pt idx="56">
                  <c:v>-153.61117190456036</c:v>
                </c:pt>
                <c:pt idx="57">
                  <c:v>-151.36516256838769</c:v>
                </c:pt>
                <c:pt idx="58">
                  <c:v>-149.16053361950335</c:v>
                </c:pt>
                <c:pt idx="59">
                  <c:v>-147.02611684080782</c:v>
                </c:pt>
                <c:pt idx="60">
                  <c:v>-144.9933872764374</c:v>
                </c:pt>
                <c:pt idx="61">
                  <c:v>-143.09247929275153</c:v>
                </c:pt>
                <c:pt idx="62">
                  <c:v>-141.34731260907432</c:v>
                </c:pt>
                <c:pt idx="63">
                  <c:v>-139.77154787323178</c:v>
                </c:pt>
                <c:pt idx="64">
                  <c:v>-138.36720565977282</c:v>
                </c:pt>
                <c:pt idx="65">
                  <c:v>-137.12655333116913</c:v>
                </c:pt>
                <c:pt idx="66">
                  <c:v>-136.03613316547364</c:v>
                </c:pt>
                <c:pt idx="67">
                  <c:v>-135.08099328804906</c:v>
                </c:pt>
                <c:pt idx="68">
                  <c:v>-134.24769100380121</c:v>
                </c:pt>
                <c:pt idx="69">
                  <c:v>-133.52568141810937</c:v>
                </c:pt>
                <c:pt idx="70">
                  <c:v>-132.9074457431434</c:v>
                </c:pt>
                <c:pt idx="71">
                  <c:v>-132.38793738821786</c:v>
                </c:pt>
                <c:pt idx="72">
                  <c:v>-131.96382577925087</c:v>
                </c:pt>
                <c:pt idx="73">
                  <c:v>-131.63282516808334</c:v>
                </c:pt>
                <c:pt idx="74">
                  <c:v>-131.39322500639244</c:v>
                </c:pt>
                <c:pt idx="75">
                  <c:v>-131.24362164535225</c:v>
                </c:pt>
                <c:pt idx="76">
                  <c:v>-131.18278685908132</c:v>
                </c:pt>
                <c:pt idx="77">
                  <c:v>-131.20958821747797</c:v>
                </c:pt>
                <c:pt idx="78">
                  <c:v>-131.3228892414119</c:v>
                </c:pt>
                <c:pt idx="79">
                  <c:v>-131.52139132672241</c:v>
                </c:pt>
                <c:pt idx="80">
                  <c:v>-131.8034209290999</c:v>
                </c:pt>
                <c:pt idx="81">
                  <c:v>-132.16670098060123</c:v>
                </c:pt>
                <c:pt idx="82">
                  <c:v>-132.60816417388534</c:v>
                </c:pt>
                <c:pt idx="83">
                  <c:v>-133.12386239294699</c:v>
                </c:pt>
                <c:pt idx="84">
                  <c:v>-133.70900370979274</c:v>
                </c:pt>
                <c:pt idx="85">
                  <c:v>-134.35811572217605</c:v>
                </c:pt>
                <c:pt idx="86">
                  <c:v>-135.06530436536272</c:v>
                </c:pt>
                <c:pt idx="87">
                  <c:v>-135.82456067684245</c:v>
                </c:pt>
                <c:pt idx="88">
                  <c:v>-136.63006748191032</c:v>
                </c:pt>
                <c:pt idx="89">
                  <c:v>-137.4764700082317</c:v>
                </c:pt>
                <c:pt idx="90">
                  <c:v>-138.35909205523996</c:v>
                </c:pt>
                <c:pt idx="91">
                  <c:v>-139.27409608405543</c:v>
                </c:pt>
                <c:pt idx="92">
                  <c:v>-140.21859775784515</c:v>
                </c:pt>
                <c:pt idx="93">
                  <c:v>-141.19075228283992</c:v>
                </c:pt>
                <c:pt idx="94">
                  <c:v>-142.18983250704841</c:v>
                </c:pt>
                <c:pt idx="95">
                  <c:v>-143.21631896073586</c:v>
                </c:pt>
                <c:pt idx="96">
                  <c:v>-144.2720216193573</c:v>
                </c:pt>
                <c:pt idx="97">
                  <c:v>-145.36025350989974</c:v>
                </c:pt>
                <c:pt idx="98">
                  <c:v>-146.48607842501929</c:v>
                </c:pt>
                <c:pt idx="99">
                  <c:v>-147.65665995279622</c:v>
                </c:pt>
                <c:pt idx="100">
                  <c:v>-148.88174807687011</c:v>
                </c:pt>
                <c:pt idx="101">
                  <c:v>-150.17435489183703</c:v>
                </c:pt>
                <c:pt idx="102">
                  <c:v>-151.55169636905708</c:v>
                </c:pt>
                <c:pt idx="103">
                  <c:v>-153.03651985950327</c:v>
                </c:pt>
                <c:pt idx="104">
                  <c:v>-154.65901134216739</c:v>
                </c:pt>
                <c:pt idx="105">
                  <c:v>-156.45961146724736</c:v>
                </c:pt>
                <c:pt idx="106">
                  <c:v>-158.49332859664651</c:v>
                </c:pt>
                <c:pt idx="107">
                  <c:v>-160.83666839825315</c:v>
                </c:pt>
                <c:pt idx="108">
                  <c:v>-163.59948071083292</c:v>
                </c:pt>
                <c:pt idx="109">
                  <c:v>-166.94692955891855</c:v>
                </c:pt>
                <c:pt idx="110">
                  <c:v>-171.1449412359708</c:v>
                </c:pt>
                <c:pt idx="111">
                  <c:v>-176.66985950669408</c:v>
                </c:pt>
                <c:pt idx="112">
                  <c:v>-184.54353239024712</c:v>
                </c:pt>
                <c:pt idx="113">
                  <c:v>-197.91683977484598</c:v>
                </c:pt>
                <c:pt idx="114">
                  <c:v>-266.68118797362627</c:v>
                </c:pt>
                <c:pt idx="115">
                  <c:v>-201.31947318737033</c:v>
                </c:pt>
                <c:pt idx="116">
                  <c:v>-192.98489632843567</c:v>
                </c:pt>
                <c:pt idx="117">
                  <c:v>-191.20410766288302</c:v>
                </c:pt>
                <c:pt idx="118">
                  <c:v>-194.27291860349436</c:v>
                </c:pt>
                <c:pt idx="119">
                  <c:v>-204.5792568878845</c:v>
                </c:pt>
                <c:pt idx="120">
                  <c:v>-300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959296"/>
        <c:axId val="113961216"/>
      </c:scatterChart>
      <c:valAx>
        <c:axId val="113959296"/>
        <c:scaling>
          <c:logBase val="10"/>
          <c:orientation val="minMax"/>
          <c:min val="0.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Frequency Offset (kHz)</a:t>
                </a:r>
              </a:p>
            </c:rich>
          </c:tx>
          <c:layout>
            <c:manualLayout>
              <c:xMode val="edge"/>
              <c:yMode val="edge"/>
              <c:x val="0.41845293569431502"/>
              <c:y val="0.86918344640882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3961216"/>
        <c:crossesAt val="-160"/>
        <c:crossBetween val="midCat"/>
      </c:valAx>
      <c:valAx>
        <c:axId val="113961216"/>
        <c:scaling>
          <c:orientation val="minMax"/>
          <c:max val="-80"/>
          <c:min val="-1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Phase Noise (dBc/Hz)</a:t>
                </a:r>
              </a:p>
            </c:rich>
          </c:tx>
          <c:layout>
            <c:manualLayout>
              <c:xMode val="edge"/>
              <c:yMode val="edge"/>
              <c:x val="1.4911463187325256E-2"/>
              <c:y val="0.3245286980636853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3959296"/>
        <c:crossesAt val="0.1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9508947636063264E-2"/>
          <c:y val="0.94088157517461823"/>
          <c:w val="0.89999997076350235"/>
          <c:h val="3.109189785557240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3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23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PLL Phase Noise at VCO Output </a:t>
            </a:r>
          </a:p>
        </c:rich>
      </c:tx>
      <c:layout>
        <c:manualLayout>
          <c:xMode val="edge"/>
          <c:yMode val="edge"/>
          <c:x val="0.30404001658294305"/>
          <c:y val="4.85899466169593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936626281453867"/>
          <c:y val="0.20125810885675716"/>
          <c:w val="0.79123951537744641"/>
          <c:h val="0.59119569476672407"/>
        </c:manualLayout>
      </c:layout>
      <c:scatterChart>
        <c:scatterStyle val="smoothMarker"/>
        <c:varyColors val="0"/>
        <c:ser>
          <c:idx val="0"/>
          <c:order val="0"/>
          <c:tx>
            <c:v>1/f + PD  Noise</c:v>
          </c:tx>
          <c:spPr>
            <a:ln w="25400">
              <a:solidFill>
                <a:srgbClr val="000080"/>
              </a:solidFill>
              <a:prstDash val="lgDash"/>
            </a:ln>
          </c:spPr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'5thOrderClosedLoopPhaseNoise'!$P$8:$P$128</c:f>
              <c:numCache>
                <c:formatCode>0.00</c:formatCode>
                <c:ptCount val="121"/>
                <c:pt idx="0">
                  <c:v>-90.939394574015481</c:v>
                </c:pt>
                <c:pt idx="1">
                  <c:v>-91.43703214614672</c:v>
                </c:pt>
                <c:pt idx="2">
                  <c:v>-91.934382854409165</c:v>
                </c:pt>
                <c:pt idx="3">
                  <c:v>-92.431412055204433</c:v>
                </c:pt>
                <c:pt idx="4">
                  <c:v>-92.928080969788283</c:v>
                </c:pt>
                <c:pt idx="5">
                  <c:v>-93.424346203136736</c:v>
                </c:pt>
                <c:pt idx="6">
                  <c:v>-93.920159210011306</c:v>
                </c:pt>
                <c:pt idx="7">
                  <c:v>-94.415465703245459</c:v>
                </c:pt>
                <c:pt idx="8">
                  <c:v>-94.91020499901876</c:v>
                </c:pt>
                <c:pt idx="9">
                  <c:v>-95.404309293683099</c:v>
                </c:pt>
                <c:pt idx="10">
                  <c:v>-95.897702866572558</c:v>
                </c:pt>
                <c:pt idx="11">
                  <c:v>-96.390301203199755</c:v>
                </c:pt>
                <c:pt idx="12">
                  <c:v>-96.882010033351222</c:v>
                </c:pt>
                <c:pt idx="13">
                  <c:v>-97.372724278879673</c:v>
                </c:pt>
                <c:pt idx="14">
                  <c:v>-97.862326906514468</c:v>
                </c:pt>
                <c:pt idx="15">
                  <c:v>-98.35068768181678</c:v>
                </c:pt>
                <c:pt idx="16">
                  <c:v>-98.837661821578507</c:v>
                </c:pt>
                <c:pt idx="17">
                  <c:v>-99.323088543563273</c:v>
                </c:pt>
                <c:pt idx="18">
                  <c:v>-99.806789514607459</c:v>
                </c:pt>
                <c:pt idx="19">
                  <c:v>-100.28856720081556</c:v>
                </c:pt>
                <c:pt idx="20">
                  <c:v>-100.76820312697789</c:v>
                </c:pt>
                <c:pt idx="21">
                  <c:v>-101.2454560564787</c:v>
                </c:pt>
                <c:pt idx="22">
                  <c:v>-101.7200601078799</c:v>
                </c:pt>
                <c:pt idx="23">
                  <c:v>-102.19172283006502</c:v>
                </c:pt>
                <c:pt idx="24">
                  <c:v>-102.66012326422239</c:v>
                </c:pt>
                <c:pt idx="25">
                  <c:v>-103.12491002786723</c:v>
                </c:pt>
                <c:pt idx="26">
                  <c:v>-103.585699463233</c:v>
                </c:pt>
                <c:pt idx="27">
                  <c:v>-104.04207389920835</c:v>
                </c:pt>
                <c:pt idx="28">
                  <c:v>-104.49358008183947</c:v>
                </c:pt>
                <c:pt idx="29">
                  <c:v>-104.93972783226967</c:v>
                </c:pt>
                <c:pt idx="30">
                  <c:v>-105.37998899156921</c:v>
                </c:pt>
                <c:pt idx="31">
                  <c:v>-105.81379670763212</c:v>
                </c:pt>
                <c:pt idx="32">
                  <c:v>-106.24054510835789</c:v>
                </c:pt>
                <c:pt idx="33">
                  <c:v>-106.65958938571434</c:v>
                </c:pt>
                <c:pt idx="34">
                  <c:v>-107.07024628513682</c:v>
                </c:pt>
                <c:pt idx="35">
                  <c:v>-107.47179495264783</c:v>
                </c:pt>
                <c:pt idx="36">
                  <c:v>-107.86347803774689</c:v>
                </c:pt>
                <c:pt idx="37">
                  <c:v>-108.24450288504552</c:v>
                </c:pt>
                <c:pt idx="38">
                  <c:v>-108.61404257634348</c:v>
                </c:pt>
                <c:pt idx="39">
                  <c:v>-108.97123651633152</c:v>
                </c:pt>
                <c:pt idx="40">
                  <c:v>-109.3151902045999</c:v>
                </c:pt>
                <c:pt idx="41">
                  <c:v>-109.64497382770203</c:v>
                </c:pt>
                <c:pt idx="42">
                  <c:v>-109.95961937176378</c:v>
                </c:pt>
                <c:pt idx="43">
                  <c:v>-110.25811614489145</c:v>
                </c:pt>
                <c:pt idx="44">
                  <c:v>-110.5394049681195</c:v>
                </c:pt>
                <c:pt idx="45">
                  <c:v>-110.80237191105853</c:v>
                </c:pt>
                <c:pt idx="46">
                  <c:v>-111.04584337747639</c:v>
                </c:pt>
                <c:pt idx="47">
                  <c:v>-111.26858562033435</c:v>
                </c:pt>
                <c:pt idx="48">
                  <c:v>-111.4693133391421</c:v>
                </c:pt>
                <c:pt idx="49">
                  <c:v>-111.64671368003717</c:v>
                </c:pt>
                <c:pt idx="50">
                  <c:v>-111.79949325405454</c:v>
                </c:pt>
                <c:pt idx="51">
                  <c:v>-111.92645589088937</c:v>
                </c:pt>
                <c:pt idx="52">
                  <c:v>-112.02661658616135</c:v>
                </c:pt>
                <c:pt idx="53">
                  <c:v>-112.09935122037609</c:v>
                </c:pt>
                <c:pt idx="54">
                  <c:v>-112.144571439638</c:v>
                </c:pt>
                <c:pt idx="55">
                  <c:v>-112.16290054828389</c:v>
                </c:pt>
                <c:pt idx="56">
                  <c:v>-112.15581304340205</c:v>
                </c:pt>
                <c:pt idx="57">
                  <c:v>-112.12569401678795</c:v>
                </c:pt>
                <c:pt idx="58">
                  <c:v>-112.07578243590176</c:v>
                </c:pt>
                <c:pt idx="59">
                  <c:v>-112.00998845635451</c:v>
                </c:pt>
                <c:pt idx="60">
                  <c:v>-111.93261620298512</c:v>
                </c:pt>
                <c:pt idx="61">
                  <c:v>-111.84806874969436</c:v>
                </c:pt>
                <c:pt idx="62">
                  <c:v>-111.76064768143382</c:v>
                </c:pt>
                <c:pt idx="63">
                  <c:v>-111.67457856866783</c:v>
                </c:pt>
                <c:pt idx="64">
                  <c:v>-111.59440168874127</c:v>
                </c:pt>
                <c:pt idx="65">
                  <c:v>-111.52588003461831</c:v>
                </c:pt>
                <c:pt idx="66">
                  <c:v>-111.47760443843198</c:v>
                </c:pt>
                <c:pt idx="67">
                  <c:v>-111.46349278271325</c:v>
                </c:pt>
                <c:pt idx="68">
                  <c:v>-111.50626765109999</c:v>
                </c:pt>
                <c:pt idx="69">
                  <c:v>-111.64145817353389</c:v>
                </c:pt>
                <c:pt idx="70">
                  <c:v>-111.92005454782331</c:v>
                </c:pt>
                <c:pt idx="71">
                  <c:v>-112.40568760998133</c:v>
                </c:pt>
                <c:pt idx="72">
                  <c:v>-113.16149041032121</c:v>
                </c:pt>
                <c:pt idx="73">
                  <c:v>-114.22776369651754</c:v>
                </c:pt>
                <c:pt idx="74">
                  <c:v>-115.60363653772198</c:v>
                </c:pt>
                <c:pt idx="75">
                  <c:v>-117.24838962088769</c:v>
                </c:pt>
                <c:pt idx="76">
                  <c:v>-119.10127582882319</c:v>
                </c:pt>
                <c:pt idx="77">
                  <c:v>-121.10341887672243</c:v>
                </c:pt>
                <c:pt idx="78">
                  <c:v>-123.20983249699492</c:v>
                </c:pt>
                <c:pt idx="79">
                  <c:v>-125.3915199280917</c:v>
                </c:pt>
                <c:pt idx="80">
                  <c:v>-127.63263545098191</c:v>
                </c:pt>
                <c:pt idx="81">
                  <c:v>-129.92656805532513</c:v>
                </c:pt>
                <c:pt idx="82">
                  <c:v>-132.27258202837959</c:v>
                </c:pt>
                <c:pt idx="83">
                  <c:v>-134.67334472102434</c:v>
                </c:pt>
                <c:pt idx="84">
                  <c:v>-137.13320861924649</c:v>
                </c:pt>
                <c:pt idx="85">
                  <c:v>-139.65704725137707</c:v>
                </c:pt>
                <c:pt idx="86">
                  <c:v>-142.2494967191343</c:v>
                </c:pt>
                <c:pt idx="87">
                  <c:v>-144.9145122877346</c:v>
                </c:pt>
                <c:pt idx="88">
                  <c:v>-147.65517880353946</c:v>
                </c:pt>
                <c:pt idx="89">
                  <c:v>-150.47371527186743</c:v>
                </c:pt>
                <c:pt idx="90">
                  <c:v>-153.37160176161058</c:v>
                </c:pt>
                <c:pt idx="91">
                  <c:v>-156.34974737259492</c:v>
                </c:pt>
                <c:pt idx="92">
                  <c:v>-159.40862290725048</c:v>
                </c:pt>
                <c:pt idx="93">
                  <c:v>-162.54830437897706</c:v>
                </c:pt>
                <c:pt idx="94">
                  <c:v>-165.76840895405766</c:v>
                </c:pt>
                <c:pt idx="95">
                  <c:v>-169.06794377742827</c:v>
                </c:pt>
                <c:pt idx="96">
                  <c:v>-172.44511923725483</c:v>
                </c:pt>
                <c:pt idx="97">
                  <c:v>-175.89719222124239</c:v>
                </c:pt>
                <c:pt idx="98">
                  <c:v>-179.4203975064674</c:v>
                </c:pt>
                <c:pt idx="99">
                  <c:v>-183.00999966847581</c:v>
                </c:pt>
                <c:pt idx="100">
                  <c:v>-186.66046369809791</c:v>
                </c:pt>
                <c:pt idx="101">
                  <c:v>-190.36571246728067</c:v>
                </c:pt>
                <c:pt idx="102">
                  <c:v>-194.11942278377782</c:v>
                </c:pt>
                <c:pt idx="103">
                  <c:v>-197.91531161385851</c:v>
                </c:pt>
                <c:pt idx="104">
                  <c:v>-201.74737614258146</c:v>
                </c:pt>
                <c:pt idx="105">
                  <c:v>-205.61006856837409</c:v>
                </c:pt>
                <c:pt idx="106">
                  <c:v>-209.49840249034497</c:v>
                </c:pt>
                <c:pt idx="107">
                  <c:v>-213.4079988592336</c:v>
                </c:pt>
                <c:pt idx="108">
                  <c:v>-217.33508502509488</c:v>
                </c:pt>
                <c:pt idx="109">
                  <c:v>-221.27646153097862</c:v>
                </c:pt>
                <c:pt idx="110">
                  <c:v>-225.22944968151467</c:v>
                </c:pt>
                <c:pt idx="111">
                  <c:v>-229.19183008805084</c:v>
                </c:pt>
                <c:pt idx="112">
                  <c:v>-233.16177939861919</c:v>
                </c:pt>
                <c:pt idx="113">
                  <c:v>-237.13780981677536</c:v>
                </c:pt>
                <c:pt idx="114">
                  <c:v>-241.118714001439</c:v>
                </c:pt>
                <c:pt idx="115">
                  <c:v>-245.1035165181531</c:v>
                </c:pt>
                <c:pt idx="116">
                  <c:v>-249.09143208490136</c:v>
                </c:pt>
                <c:pt idx="117">
                  <c:v>-253.08183030155942</c:v>
                </c:pt>
                <c:pt idx="118">
                  <c:v>-257.07420625904535</c:v>
                </c:pt>
                <c:pt idx="119">
                  <c:v>-261.06815630227788</c:v>
                </c:pt>
                <c:pt idx="120">
                  <c:v>-265.06335820390228</c:v>
                </c:pt>
              </c:numCache>
            </c:numRef>
          </c:yVal>
          <c:smooth val="1"/>
        </c:ser>
        <c:ser>
          <c:idx val="3"/>
          <c:order val="1"/>
          <c:tx>
            <c:v>CL VCO noise</c:v>
          </c:tx>
          <c:spPr>
            <a:ln w="12700">
              <a:solidFill>
                <a:srgbClr val="008000"/>
              </a:solidFill>
              <a:prstDash val="lgDash"/>
            </a:ln>
          </c:spPr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'5thOrderClosedLoopPhaseNoise'!$AE$8:$AE$128</c:f>
              <c:numCache>
                <c:formatCode>0.00</c:formatCode>
                <c:ptCount val="121"/>
                <c:pt idx="0">
                  <c:v>-195.77068187346879</c:v>
                </c:pt>
                <c:pt idx="1">
                  <c:v>-194.77068289226042</c:v>
                </c:pt>
                <c:pt idx="2">
                  <c:v>-193.77068417484276</c:v>
                </c:pt>
                <c:pt idx="3">
                  <c:v>-192.7706857895177</c:v>
                </c:pt>
                <c:pt idx="4">
                  <c:v>-191.77068782227201</c:v>
                </c:pt>
                <c:pt idx="5">
                  <c:v>-190.77069038135676</c:v>
                </c:pt>
                <c:pt idx="6">
                  <c:v>-189.77069360305114</c:v>
                </c:pt>
                <c:pt idx="7">
                  <c:v>-188.77069765892034</c:v>
                </c:pt>
                <c:pt idx="8">
                  <c:v>-187.77070276495127</c:v>
                </c:pt>
                <c:pt idx="9">
                  <c:v>-186.77070919305422</c:v>
                </c:pt>
                <c:pt idx="10">
                  <c:v>-185.77071728554159</c:v>
                </c:pt>
                <c:pt idx="11">
                  <c:v>-184.77072747335632</c:v>
                </c:pt>
                <c:pt idx="12">
                  <c:v>-183.77074029901837</c:v>
                </c:pt>
                <c:pt idx="13">
                  <c:v>-182.77075644551172</c:v>
                </c:pt>
                <c:pt idx="14">
                  <c:v>-181.77077677264978</c:v>
                </c:pt>
                <c:pt idx="15">
                  <c:v>-180.77080236285377</c:v>
                </c:pt>
                <c:pt idx="16">
                  <c:v>-179.77083457877899</c:v>
                </c:pt>
                <c:pt idx="17">
                  <c:v>-178.77087513585707</c:v>
                </c:pt>
                <c:pt idx="18">
                  <c:v>-177.77092619360869</c:v>
                </c:pt>
                <c:pt idx="19">
                  <c:v>-176.77099047058323</c:v>
                </c:pt>
                <c:pt idx="20">
                  <c:v>-175.77107138903156</c:v>
                </c:pt>
                <c:pt idx="21">
                  <c:v>-174.77117325699527</c:v>
                </c:pt>
                <c:pt idx="22">
                  <c:v>-173.77130149747546</c:v>
                </c:pt>
                <c:pt idx="23">
                  <c:v>-172.77146293683015</c:v>
                </c:pt>
                <c:pt idx="24">
                  <c:v>-171.77166616767383</c:v>
                </c:pt>
                <c:pt idx="25">
                  <c:v>-170.77192200546878</c:v>
                </c:pt>
                <c:pt idx="26">
                  <c:v>-169.77224406290927</c:v>
                </c:pt>
                <c:pt idx="27">
                  <c:v>-168.77264947234454</c:v>
                </c:pt>
                <c:pt idx="28">
                  <c:v>-167.77315979417699</c:v>
                </c:pt>
                <c:pt idx="29">
                  <c:v>-166.77380215875289</c:v>
                </c:pt>
                <c:pt idx="30">
                  <c:v>-165.77461070121029</c:v>
                </c:pt>
                <c:pt idx="31">
                  <c:v>-164.7756283635548</c:v>
                </c:pt>
                <c:pt idx="32">
                  <c:v>-163.77690915655245</c:v>
                </c:pt>
                <c:pt idx="33">
                  <c:v>-162.77852099655038</c:v>
                </c:pt>
                <c:pt idx="34">
                  <c:v>-161.78054925985631</c:v>
                </c:pt>
                <c:pt idx="35">
                  <c:v>-160.78310123063733</c:v>
                </c:pt>
                <c:pt idx="36">
                  <c:v>-159.78631165819652</c:v>
                </c:pt>
                <c:pt idx="37">
                  <c:v>-158.79034968649052</c:v>
                </c:pt>
                <c:pt idx="38">
                  <c:v>-157.79542747289827</c:v>
                </c:pt>
                <c:pt idx="39">
                  <c:v>-156.80181087362828</c:v>
                </c:pt>
                <c:pt idx="40">
                  <c:v>-155.80983263713145</c:v>
                </c:pt>
                <c:pt idx="41">
                  <c:v>-154.81990860902468</c:v>
                </c:pt>
                <c:pt idx="42">
                  <c:v>-153.83255750234181</c:v>
                </c:pt>
                <c:pt idx="43">
                  <c:v>-152.84842480844168</c:v>
                </c:pt>
                <c:pt idx="44">
                  <c:v>-151.86831138937669</c:v>
                </c:pt>
                <c:pt idx="45">
                  <c:v>-150.89320716022056</c:v>
                </c:pt>
                <c:pt idx="46">
                  <c:v>-149.92432997899664</c:v>
                </c:pt>
                <c:pt idx="47">
                  <c:v>-148.96316932893168</c:v>
                </c:pt>
                <c:pt idx="48">
                  <c:v>-148.0115334968749</c:v>
                </c:pt>
                <c:pt idx="49">
                  <c:v>-147.07159760432955</c:v>
                </c:pt>
                <c:pt idx="50">
                  <c:v>-146.14594793118732</c:v>
                </c:pt>
                <c:pt idx="51">
                  <c:v>-145.23761546022394</c:v>
                </c:pt>
                <c:pt idx="52">
                  <c:v>-144.35008861446002</c:v>
                </c:pt>
                <c:pt idx="53">
                  <c:v>-143.48729223513851</c:v>
                </c:pt>
                <c:pt idx="54">
                  <c:v>-142.65351790945945</c:v>
                </c:pt>
                <c:pt idx="55">
                  <c:v>-141.85329130775617</c:v>
                </c:pt>
                <c:pt idx="56">
                  <c:v>-141.09116710350276</c:v>
                </c:pt>
                <c:pt idx="57">
                  <c:v>-140.37145296233086</c:v>
                </c:pt>
                <c:pt idx="58">
                  <c:v>-139.69788133251834</c:v>
                </c:pt>
                <c:pt idx="59">
                  <c:v>-139.07326925560642</c:v>
                </c:pt>
                <c:pt idx="60">
                  <c:v>-138.49922735256942</c:v>
                </c:pt>
                <c:pt idx="61">
                  <c:v>-137.97599367809775</c:v>
                </c:pt>
                <c:pt idx="62">
                  <c:v>-137.50247303157613</c:v>
                </c:pt>
                <c:pt idx="63">
                  <c:v>-137.07656092836882</c:v>
                </c:pt>
                <c:pt idx="64">
                  <c:v>-136.69583487224554</c:v>
                </c:pt>
                <c:pt idx="65">
                  <c:v>-136.35871797800382</c:v>
                </c:pt>
                <c:pt idx="66">
                  <c:v>-136.06626559765007</c:v>
                </c:pt>
                <c:pt idx="67">
                  <c:v>-135.82476176728272</c:v>
                </c:pt>
                <c:pt idx="68">
                  <c:v>-135.64921517571324</c:v>
                </c:pt>
                <c:pt idx="69">
                  <c:v>-135.56731610129708</c:v>
                </c:pt>
                <c:pt idx="70">
                  <c:v>-135.62200431933971</c:v>
                </c:pt>
                <c:pt idx="71">
                  <c:v>-135.86854479667582</c:v>
                </c:pt>
                <c:pt idx="72">
                  <c:v>-136.36129401847333</c:v>
                </c:pt>
                <c:pt idx="73">
                  <c:v>-137.13130527341835</c:v>
                </c:pt>
                <c:pt idx="74">
                  <c:v>-138.16798968838785</c:v>
                </c:pt>
                <c:pt idx="75">
                  <c:v>-139.42052244961116</c:v>
                </c:pt>
                <c:pt idx="76">
                  <c:v>-140.81784265923935</c:v>
                </c:pt>
                <c:pt idx="77">
                  <c:v>-142.29082812960084</c:v>
                </c:pt>
                <c:pt idx="78">
                  <c:v>-143.78467071517565</c:v>
                </c:pt>
                <c:pt idx="79">
                  <c:v>-145.26137721620398</c:v>
                </c:pt>
                <c:pt idx="80">
                  <c:v>-146.69732992848088</c:v>
                </c:pt>
                <c:pt idx="81">
                  <c:v>-148.07971560136596</c:v>
                </c:pt>
                <c:pt idx="82">
                  <c:v>-149.40341277602539</c:v>
                </c:pt>
                <c:pt idx="83">
                  <c:v>-150.66863635288593</c:v>
                </c:pt>
                <c:pt idx="84">
                  <c:v>-151.87919069376102</c:v>
                </c:pt>
                <c:pt idx="85">
                  <c:v>-153.041130082526</c:v>
                </c:pt>
                <c:pt idx="86">
                  <c:v>-154.16169293580234</c:v>
                </c:pt>
                <c:pt idx="87">
                  <c:v>-155.24845073897276</c:v>
                </c:pt>
                <c:pt idx="88">
                  <c:v>-156.30865927776927</c:v>
                </c:pt>
                <c:pt idx="89">
                  <c:v>-157.3488141184273</c:v>
                </c:pt>
                <c:pt idx="90">
                  <c:v>-158.3744030282561</c:v>
                </c:pt>
                <c:pt idx="91">
                  <c:v>-159.3898288752448</c:v>
                </c:pt>
                <c:pt idx="92">
                  <c:v>-160.39846035967653</c:v>
                </c:pt>
                <c:pt idx="93">
                  <c:v>-161.40276196642634</c:v>
                </c:pt>
                <c:pt idx="94">
                  <c:v>-162.40445923505322</c:v>
                </c:pt>
                <c:pt idx="95">
                  <c:v>-163.40470676472142</c:v>
                </c:pt>
                <c:pt idx="96">
                  <c:v>-164.40423922692023</c:v>
                </c:pt>
                <c:pt idx="97">
                  <c:v>-165.40349643764324</c:v>
                </c:pt>
                <c:pt idx="98">
                  <c:v>-166.40272081357125</c:v>
                </c:pt>
                <c:pt idx="99">
                  <c:v>-167.40202953878307</c:v>
                </c:pt>
                <c:pt idx="100">
                  <c:v>-168.40146547674772</c:v>
                </c:pt>
                <c:pt idx="101">
                  <c:v>-169.40103126451947</c:v>
                </c:pt>
                <c:pt idx="102">
                  <c:v>-170.40071078821933</c:v>
                </c:pt>
                <c:pt idx="103">
                  <c:v>-171.40048170374746</c:v>
                </c:pt>
                <c:pt idx="104">
                  <c:v>-172.4003219936609</c:v>
                </c:pt>
                <c:pt idx="105">
                  <c:v>-173.40021283846426</c:v>
                </c:pt>
                <c:pt idx="106">
                  <c:v>-174.40013941147998</c:v>
                </c:pt>
                <c:pt idx="107">
                  <c:v>-175.40009064439272</c:v>
                </c:pt>
                <c:pt idx="108">
                  <c:v>-176.40005858567559</c:v>
                </c:pt>
                <c:pt idx="109">
                  <c:v>-177.4000376835875</c:v>
                </c:pt>
                <c:pt idx="110">
                  <c:v>-178.40002414529056</c:v>
                </c:pt>
                <c:pt idx="111">
                  <c:v>-179.40001542282658</c:v>
                </c:pt>
                <c:pt idx="112">
                  <c:v>-180.4000098268713</c:v>
                </c:pt>
                <c:pt idx="113">
                  <c:v>-181.40000624888671</c:v>
                </c:pt>
                <c:pt idx="114">
                  <c:v>-182.40000396734561</c:v>
                </c:pt>
                <c:pt idx="115">
                  <c:v>-183.40000251563094</c:v>
                </c:pt>
                <c:pt idx="116">
                  <c:v>-184.40000159351061</c:v>
                </c:pt>
                <c:pt idx="117">
                  <c:v>-185.40000100858717</c:v>
                </c:pt>
                <c:pt idx="118">
                  <c:v>-186.40000063796032</c:v>
                </c:pt>
                <c:pt idx="119">
                  <c:v>-187.40000040332234</c:v>
                </c:pt>
                <c:pt idx="120">
                  <c:v>-188.40000025487944</c:v>
                </c:pt>
              </c:numCache>
            </c:numRef>
          </c:yVal>
          <c:smooth val="1"/>
        </c:ser>
        <c:ser>
          <c:idx val="1"/>
          <c:order val="2"/>
          <c:tx>
            <c:v>Ref. Noise</c:v>
          </c:tx>
          <c:spPr>
            <a:ln w="12700">
              <a:solidFill>
                <a:srgbClr val="FF00FF"/>
              </a:solidFill>
              <a:prstDash val="sysDash"/>
            </a:ln>
          </c:spPr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'5thOrderClosedLoopPhaseNoise'!$AJ$8:$AJ$128</c:f>
              <c:numCache>
                <c:formatCode>0.00</c:formatCode>
                <c:ptCount val="121"/>
                <c:pt idx="0">
                  <c:v>-97.938196542414104</c:v>
                </c:pt>
                <c:pt idx="1">
                  <c:v>-98.63819557979653</c:v>
                </c:pt>
                <c:pt idx="2">
                  <c:v>-99.338194367933767</c:v>
                </c:pt>
                <c:pt idx="3">
                  <c:v>-100.03819284229037</c:v>
                </c:pt>
                <c:pt idx="4">
                  <c:v>-100.73819092162151</c:v>
                </c:pt>
                <c:pt idx="5">
                  <c:v>-101.4381885036464</c:v>
                </c:pt>
                <c:pt idx="6">
                  <c:v>-102.13818545960207</c:v>
                </c:pt>
                <c:pt idx="7">
                  <c:v>-102.8381816273867</c:v>
                </c:pt>
                <c:pt idx="8">
                  <c:v>-103.53817680292826</c:v>
                </c:pt>
                <c:pt idx="9">
                  <c:v>-104.23817072931851</c:v>
                </c:pt>
                <c:pt idx="10">
                  <c:v>-104.93816308313433</c:v>
                </c:pt>
                <c:pt idx="11">
                  <c:v>-105.63815345721794</c:v>
                </c:pt>
                <c:pt idx="12">
                  <c:v>-106.33814133900124</c:v>
                </c:pt>
                <c:pt idx="13">
                  <c:v>-107.0381260832191</c:v>
                </c:pt>
                <c:pt idx="14">
                  <c:v>-107.73810687756331</c:v>
                </c:pt>
                <c:pt idx="15">
                  <c:v>-108.43808269944918</c:v>
                </c:pt>
                <c:pt idx="16">
                  <c:v>-109.13805226159954</c:v>
                </c:pt>
                <c:pt idx="17">
                  <c:v>-109.83801394355658</c:v>
                </c:pt>
                <c:pt idx="18">
                  <c:v>-110.53796570548725</c:v>
                </c:pt>
                <c:pt idx="19">
                  <c:v>-111.23790497971528</c:v>
                </c:pt>
                <c:pt idx="20">
                  <c:v>-111.93782853423693</c:v>
                </c:pt>
                <c:pt idx="21">
                  <c:v>-113.1877323010068</c:v>
                </c:pt>
                <c:pt idx="22">
                  <c:v>-114.43761115993796</c:v>
                </c:pt>
                <c:pt idx="23">
                  <c:v>-115.68745866724812</c:v>
                </c:pt>
                <c:pt idx="24">
                  <c:v>-116.93726671390507</c:v>
                </c:pt>
                <c:pt idx="25">
                  <c:v>-118.187025096326</c:v>
                </c:pt>
                <c:pt idx="26">
                  <c:v>-119.4367209770148</c:v>
                </c:pt>
                <c:pt idx="27">
                  <c:v>-120.68633820727683</c:v>
                </c:pt>
                <c:pt idx="28">
                  <c:v>-121.9358564773104</c:v>
                </c:pt>
                <c:pt idx="29">
                  <c:v>-123.18525025057248</c:v>
                </c:pt>
                <c:pt idx="30">
                  <c:v>-124.43448742908458</c:v>
                </c:pt>
                <c:pt idx="31">
                  <c:v>-125.68352768399126</c:v>
                </c:pt>
                <c:pt idx="32">
                  <c:v>-126.93232037097367</c:v>
                </c:pt>
                <c:pt idx="33">
                  <c:v>-128.18080193291098</c:v>
                </c:pt>
                <c:pt idx="34">
                  <c:v>-129.42889267256629</c:v>
                </c:pt>
                <c:pt idx="35">
                  <c:v>-130.67649275656538</c:v>
                </c:pt>
                <c:pt idx="36">
                  <c:v>-131.92347728979075</c:v>
                </c:pt>
                <c:pt idx="37">
                  <c:v>-133.16969027901328</c:v>
                </c:pt>
                <c:pt idx="38">
                  <c:v>-134.41493729059073</c:v>
                </c:pt>
                <c:pt idx="39">
                  <c:v>-135.65897660688012</c:v>
                </c:pt>
                <c:pt idx="40">
                  <c:v>-136.90150871169766</c:v>
                </c:pt>
                <c:pt idx="41">
                  <c:v>-136.89216400530739</c:v>
                </c:pt>
                <c:pt idx="42">
                  <c:v>-136.88048879143849</c:v>
                </c:pt>
                <c:pt idx="43">
                  <c:v>-136.86592983120283</c:v>
                </c:pt>
                <c:pt idx="44">
                  <c:v>-136.84781817195824</c:v>
                </c:pt>
                <c:pt idx="45">
                  <c:v>-136.82535359283884</c:v>
                </c:pt>
                <c:pt idx="46">
                  <c:v>-136.79759192106869</c:v>
                </c:pt>
                <c:pt idx="47">
                  <c:v>-136.76343869550368</c:v>
                </c:pt>
                <c:pt idx="48">
                  <c:v>-136.72165414158061</c:v>
                </c:pt>
                <c:pt idx="49">
                  <c:v>-136.67087597595679</c:v>
                </c:pt>
                <c:pt idx="50">
                  <c:v>-136.60966772245803</c:v>
                </c:pt>
                <c:pt idx="51">
                  <c:v>-136.53660018484817</c:v>
                </c:pt>
                <c:pt idx="52">
                  <c:v>-136.45037133143919</c:v>
                </c:pt>
                <c:pt idx="53">
                  <c:v>-136.34996385429309</c:v>
                </c:pt>
                <c:pt idx="54">
                  <c:v>-136.23482939331504</c:v>
                </c:pt>
                <c:pt idx="55">
                  <c:v>-136.10507482514407</c:v>
                </c:pt>
                <c:pt idx="56">
                  <c:v>-135.96161278129301</c:v>
                </c:pt>
                <c:pt idx="57">
                  <c:v>-135.80623217308812</c:v>
                </c:pt>
                <c:pt idx="58">
                  <c:v>-135.64155233163913</c:v>
                </c:pt>
                <c:pt idx="59">
                  <c:v>-135.47085057628377</c:v>
                </c:pt>
                <c:pt idx="60">
                  <c:v>-135.29779438507151</c:v>
                </c:pt>
                <c:pt idx="61">
                  <c:v>-135.1261547130338</c:v>
                </c:pt>
                <c:pt idx="62">
                  <c:v>-134.9596127331759</c:v>
                </c:pt>
                <c:pt idx="63">
                  <c:v>-134.80179128996895</c:v>
                </c:pt>
                <c:pt idx="64">
                  <c:v>-134.65665041602398</c:v>
                </c:pt>
                <c:pt idx="65">
                  <c:v>-134.52939901291123</c:v>
                </c:pt>
                <c:pt idx="66">
                  <c:v>-134.42810261574894</c:v>
                </c:pt>
                <c:pt idx="67">
                  <c:v>-134.36618432672668</c:v>
                </c:pt>
                <c:pt idx="68">
                  <c:v>-134.36590339181461</c:v>
                </c:pt>
                <c:pt idx="69">
                  <c:v>-134.46235730023528</c:v>
                </c:pt>
                <c:pt idx="70">
                  <c:v>-134.70613600918102</c:v>
                </c:pt>
                <c:pt idx="71">
                  <c:v>-135.16050077857312</c:v>
                </c:pt>
                <c:pt idx="72">
                  <c:v>-135.88824467433318</c:v>
                </c:pt>
                <c:pt idx="73">
                  <c:v>-136.92935673057713</c:v>
                </c:pt>
                <c:pt idx="74">
                  <c:v>-138.28268108133645</c:v>
                </c:pt>
                <c:pt idx="75">
                  <c:v>-139.90723865711109</c:v>
                </c:pt>
                <c:pt idx="76">
                  <c:v>-141.74204610836281</c:v>
                </c:pt>
                <c:pt idx="77">
                  <c:v>-143.72801277481676</c:v>
                </c:pt>
                <c:pt idx="78">
                  <c:v>-145.81995822328918</c:v>
                </c:pt>
                <c:pt idx="79">
                  <c:v>-147.98871013467848</c:v>
                </c:pt>
                <c:pt idx="80">
                  <c:v>-150.21826430200198</c:v>
                </c:pt>
                <c:pt idx="81">
                  <c:v>-152.50186683418531</c:v>
                </c:pt>
                <c:pt idx="82">
                  <c:v>-154.83865336678002</c:v>
                </c:pt>
                <c:pt idx="83">
                  <c:v>-157.23117553850594</c:v>
                </c:pt>
                <c:pt idx="84">
                  <c:v>-159.68368186365441</c:v>
                </c:pt>
                <c:pt idx="85">
                  <c:v>-162.20095253015313</c:v>
                </c:pt>
                <c:pt idx="86">
                  <c:v>-164.7875399092481</c:v>
                </c:pt>
                <c:pt idx="87">
                  <c:v>-167.44732420879274</c:v>
                </c:pt>
                <c:pt idx="88">
                  <c:v>-170.18332303453815</c:v>
                </c:pt>
                <c:pt idx="89">
                  <c:v>-172.9976951874645</c:v>
                </c:pt>
                <c:pt idx="90">
                  <c:v>-175.89186685891673</c:v>
                </c:pt>
                <c:pt idx="91">
                  <c:v>-178.86669895449137</c:v>
                </c:pt>
                <c:pt idx="92">
                  <c:v>-181.92261918326707</c:v>
                </c:pt>
                <c:pt idx="93">
                  <c:v>-185.05966503990234</c:v>
                </c:pt>
                <c:pt idx="94">
                  <c:v>-188.27741927177325</c:v>
                </c:pt>
                <c:pt idx="95">
                  <c:v>-191.57485827700842</c:v>
                </c:pt>
                <c:pt idx="96">
                  <c:v>-194.95016498417667</c:v>
                </c:pt>
                <c:pt idx="97">
                  <c:v>-198.40057176263215</c:v>
                </c:pt>
                <c:pt idx="98">
                  <c:v>-201.922291501666</c:v>
                </c:pt>
                <c:pt idx="99">
                  <c:v>-205.51056924084233</c:v>
                </c:pt>
                <c:pt idx="100">
                  <c:v>-209.15985253687762</c:v>
                </c:pt>
                <c:pt idx="101">
                  <c:v>-212.86404870553068</c:v>
                </c:pt>
                <c:pt idx="102">
                  <c:v>-216.61682067575828</c:v>
                </c:pt>
                <c:pt idx="103">
                  <c:v>-220.41187303294353</c:v>
                </c:pt>
                <c:pt idx="104">
                  <c:v>-224.24319191860857</c:v>
                </c:pt>
                <c:pt idx="105">
                  <c:v>-228.10521968141524</c:v>
                </c:pt>
                <c:pt idx="106">
                  <c:v>-231.9929611361332</c:v>
                </c:pt>
                <c:pt idx="107">
                  <c:v>-235.90202939989996</c:v>
                </c:pt>
                <c:pt idx="108">
                  <c:v>-239.82864483744763</c:v>
                </c:pt>
                <c:pt idx="109">
                  <c:v>-243.76960176327526</c:v>
                </c:pt>
                <c:pt idx="110">
                  <c:v>-247.72221592852588</c:v>
                </c:pt>
                <c:pt idx="111">
                  <c:v>-251.68426299318131</c:v>
                </c:pt>
                <c:pt idx="112">
                  <c:v>-255.65391519092094</c:v>
                </c:pt>
                <c:pt idx="113">
                  <c:v>-259.6296807898579</c:v>
                </c:pt>
                <c:pt idx="114">
                  <c:v>-263.61034894053392</c:v>
                </c:pt>
                <c:pt idx="115">
                  <c:v>-267.59494108092315</c:v>
                </c:pt>
                <c:pt idx="116">
                  <c:v>-271.58266914098539</c:v>
                </c:pt>
                <c:pt idx="117">
                  <c:v>-275.5729002353105</c:v>
                </c:pt>
                <c:pt idx="118">
                  <c:v>-279.56512723944013</c:v>
                </c:pt>
                <c:pt idx="119">
                  <c:v>-283.5589445235484</c:v>
                </c:pt>
                <c:pt idx="120">
                  <c:v>-287.5540281000583</c:v>
                </c:pt>
              </c:numCache>
            </c:numRef>
          </c:yVal>
          <c:smooth val="1"/>
        </c:ser>
        <c:ser>
          <c:idx val="2"/>
          <c:order val="3"/>
          <c:tx>
            <c:v>Total</c:v>
          </c:tx>
          <c:spPr>
            <a:ln w="38100"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'5thOrderClosedLoopPhaseNoise'!$AK$8:$AK$128</c:f>
              <c:numCache>
                <c:formatCode>0.00</c:formatCode>
                <c:ptCount val="121"/>
                <c:pt idx="0">
                  <c:v>-90.148257547123848</c:v>
                </c:pt>
                <c:pt idx="1">
                  <c:v>-90.678806847094279</c:v>
                </c:pt>
                <c:pt idx="2">
                  <c:v>-91.207832158384662</c:v>
                </c:pt>
                <c:pt idx="3">
                  <c:v>-91.735336986829893</c:v>
                </c:pt>
                <c:pt idx="4">
                  <c:v>-92.261320026975937</c:v>
                </c:pt>
                <c:pt idx="5">
                  <c:v>-92.785774616808027</c:v>
                </c:pt>
                <c:pt idx="6">
                  <c:v>-93.308688141637631</c:v>
                </c:pt>
                <c:pt idx="7">
                  <c:v>-93.830041381761603</c:v>
                </c:pt>
                <c:pt idx="8">
                  <c:v>-94.349807798229804</c:v>
                </c:pt>
                <c:pt idx="9">
                  <c:v>-94.867952750840686</c:v>
                </c:pt>
                <c:pt idx="10">
                  <c:v>-95.384432642349495</c:v>
                </c:pt>
                <c:pt idx="11">
                  <c:v>-95.899193982858591</c:v>
                </c:pt>
                <c:pt idx="12">
                  <c:v>-96.412172368498489</c:v>
                </c:pt>
                <c:pt idx="13">
                  <c:v>-96.923291368846833</c:v>
                </c:pt>
                <c:pt idx="14">
                  <c:v>-97.432461318136987</c:v>
                </c:pt>
                <c:pt idx="15">
                  <c:v>-97.939578006227279</c:v>
                </c:pt>
                <c:pt idx="16">
                  <c:v>-98.444521266629081</c:v>
                </c:pt>
                <c:pt idx="17">
                  <c:v>-98.947153460694622</c:v>
                </c:pt>
                <c:pt idx="18">
                  <c:v>-99.447317859443501</c:v>
                </c:pt>
                <c:pt idx="19">
                  <c:v>-99.94483692754514</c:v>
                </c:pt>
                <c:pt idx="20">
                  <c:v>-100.43951051775871</c:v>
                </c:pt>
                <c:pt idx="21">
                  <c:v>-100.96612789463494</c:v>
                </c:pt>
                <c:pt idx="22">
                  <c:v>-101.48232866281332</c:v>
                </c:pt>
                <c:pt idx="23">
                  <c:v>-101.98889599743295</c:v>
                </c:pt>
                <c:pt idx="24">
                  <c:v>-102.48644676419565</c:v>
                </c:pt>
                <c:pt idx="25">
                  <c:v>-102.97544198446077</c:v>
                </c:pt>
                <c:pt idx="26">
                  <c:v>-103.45619782171724</c:v>
                </c:pt>
                <c:pt idx="27">
                  <c:v>-103.92889651965586</c:v>
                </c:pt>
                <c:pt idx="28">
                  <c:v>-104.39359693652705</c:v>
                </c:pt>
                <c:pt idx="29">
                  <c:v>-104.85024448521172</c:v>
                </c:pt>
                <c:pt idx="30">
                  <c:v>-105.29868040745576</c:v>
                </c:pt>
                <c:pt idx="31">
                  <c:v>-105.73865038935317</c:v>
                </c:pt>
                <c:pt idx="32">
                  <c:v>-106.16981256864827</c:v>
                </c:pt>
                <c:pt idx="33">
                  <c:v>-106.59174499723935</c:v>
                </c:pt>
                <c:pt idx="34">
                  <c:v>-107.00395260806026</c:v>
                </c:pt>
                <c:pt idx="35">
                  <c:v>-107.40587369746841</c:v>
                </c:pt>
                <c:pt idx="36">
                  <c:v>-107.79688587581541</c:v>
                </c:pt>
                <c:pt idx="37">
                  <c:v>-108.17631136472701</c:v>
                </c:pt>
                <c:pt idx="38">
                  <c:v>-108.54342143712981</c:v>
                </c:pt>
                <c:pt idx="39">
                  <c:v>-108.89743971687636</c:v>
                </c:pt>
                <c:pt idx="40">
                  <c:v>-109.23754399690047</c:v>
                </c:pt>
                <c:pt idx="41">
                  <c:v>-109.56085769687118</c:v>
                </c:pt>
                <c:pt idx="42">
                  <c:v>-109.86870655587191</c:v>
                </c:pt>
                <c:pt idx="43">
                  <c:v>-110.1600825043799</c:v>
                </c:pt>
                <c:pt idx="44">
                  <c:v>-110.43392641236144</c:v>
                </c:pt>
                <c:pt idx="45">
                  <c:v>-110.68912002224084</c:v>
                </c:pt>
                <c:pt idx="46">
                  <c:v>-110.92447924563004</c:v>
                </c:pt>
                <c:pt idx="47">
                  <c:v>-111.1387522120836</c:v>
                </c:pt>
                <c:pt idx="48">
                  <c:v>-111.33062715426658</c:v>
                </c:pt>
                <c:pt idx="49">
                  <c:v>-111.49875699037823</c:v>
                </c:pt>
                <c:pt idx="50">
                  <c:v>-111.64180880604063</c:v>
                </c:pt>
                <c:pt idx="51">
                  <c:v>-111.75854644763353</c:v>
                </c:pt>
                <c:pt idx="52">
                  <c:v>-111.84795185681148</c:v>
                </c:pt>
                <c:pt idx="53">
                  <c:v>-111.9093842701582</c:v>
                </c:pt>
                <c:pt idx="54">
                  <c:v>-111.94276530870403</c:v>
                </c:pt>
                <c:pt idx="55">
                  <c:v>-111.94876343412523</c:v>
                </c:pt>
                <c:pt idx="56">
                  <c:v>-111.92893730745621</c:v>
                </c:pt>
                <c:pt idx="57">
                  <c:v>-111.88579121140036</c:v>
                </c:pt>
                <c:pt idx="58">
                  <c:v>-111.82270451992315</c:v>
                </c:pt>
                <c:pt idx="59">
                  <c:v>-111.74372511409793</c:v>
                </c:pt>
                <c:pt idx="60">
                  <c:v>-111.65325956724543</c:v>
                </c:pt>
                <c:pt idx="61">
                  <c:v>-111.55573858634249</c:v>
                </c:pt>
                <c:pt idx="62">
                  <c:v>-111.45537014144287</c:v>
                </c:pt>
                <c:pt idx="63">
                  <c:v>-111.35610774840741</c:v>
                </c:pt>
                <c:pt idx="64">
                  <c:v>-111.26196363148102</c:v>
                </c:pt>
                <c:pt idx="65">
                  <c:v>-111.17780192938741</c:v>
                </c:pt>
                <c:pt idx="66">
                  <c:v>-111.11076586082393</c:v>
                </c:pt>
                <c:pt idx="67">
                  <c:v>-111.07249838815957</c:v>
                </c:pt>
                <c:pt idx="68">
                  <c:v>-111.08218894477037</c:v>
                </c:pt>
                <c:pt idx="69">
                  <c:v>-111.16992517180618</c:v>
                </c:pt>
                <c:pt idx="70">
                  <c:v>-111.37840483754943</c:v>
                </c:pt>
                <c:pt idx="71">
                  <c:v>-111.75883398326482</c:v>
                </c:pt>
                <c:pt idx="72">
                  <c:v>-112.35623582210904</c:v>
                </c:pt>
                <c:pt idx="73">
                  <c:v>-113.18564672751792</c:v>
                </c:pt>
                <c:pt idx="74">
                  <c:v>-114.21327057116301</c:v>
                </c:pt>
                <c:pt idx="75">
                  <c:v>-115.3597467884853</c:v>
                </c:pt>
                <c:pt idx="76">
                  <c:v>-116.52583571378469</c:v>
                </c:pt>
                <c:pt idx="77">
                  <c:v>-117.62380132072877</c:v>
                </c:pt>
                <c:pt idx="78">
                  <c:v>-118.59881042034998</c:v>
                </c:pt>
                <c:pt idx="79">
                  <c:v>-119.4346787638611</c:v>
                </c:pt>
                <c:pt idx="80">
                  <c:v>-120.14639041868507</c:v>
                </c:pt>
                <c:pt idx="81">
                  <c:v>-120.7664746688753</c:v>
                </c:pt>
                <c:pt idx="82">
                  <c:v>-121.33250279158842</c:v>
                </c:pt>
                <c:pt idx="83">
                  <c:v>-121.87930720501697</c:v>
                </c:pt>
                <c:pt idx="84">
                  <c:v>-122.43574141987837</c:v>
                </c:pt>
                <c:pt idx="85">
                  <c:v>-123.02423369735975</c:v>
                </c:pt>
                <c:pt idx="86">
                  <c:v>-123.66156436219109</c:v>
                </c:pt>
                <c:pt idx="87">
                  <c:v>-124.35997709130231</c:v>
                </c:pt>
                <c:pt idx="88">
                  <c:v>-125.12825981106509</c:v>
                </c:pt>
                <c:pt idx="89">
                  <c:v>-125.97269191128683</c:v>
                </c:pt>
                <c:pt idx="90">
                  <c:v>-126.8978409343238</c:v>
                </c:pt>
                <c:pt idx="91">
                  <c:v>-127.90720297959668</c:v>
                </c:pt>
                <c:pt idx="92">
                  <c:v>-129.00367750434438</c:v>
                </c:pt>
                <c:pt idx="93">
                  <c:v>-130.18987468846638</c:v>
                </c:pt>
                <c:pt idx="94">
                  <c:v>-131.46827572272647</c:v>
                </c:pt>
                <c:pt idx="95">
                  <c:v>-132.84129584852639</c:v>
                </c:pt>
                <c:pt idx="96">
                  <c:v>-134.31132558477427</c:v>
                </c:pt>
                <c:pt idx="97">
                  <c:v>-135.88083747204126</c:v>
                </c:pt>
                <c:pt idx="98">
                  <c:v>-137.55263918849786</c:v>
                </c:pt>
                <c:pt idx="99">
                  <c:v>-139.33033212264257</c:v>
                </c:pt>
                <c:pt idx="100">
                  <c:v>-141.21900782372765</c:v>
                </c:pt>
                <c:pt idx="101">
                  <c:v>-143.22619687244489</c:v>
                </c:pt>
                <c:pt idx="102">
                  <c:v>-145.36308688818383</c:v>
                </c:pt>
                <c:pt idx="103">
                  <c:v>-147.64605344411143</c:v>
                </c:pt>
                <c:pt idx="104">
                  <c:v>-150.09859653085172</c:v>
                </c:pt>
                <c:pt idx="105">
                  <c:v>-152.7538299927877</c:v>
                </c:pt>
                <c:pt idx="106">
                  <c:v>-155.65767117467163</c:v>
                </c:pt>
                <c:pt idx="107">
                  <c:v>-158.8725641874623</c:v>
                </c:pt>
                <c:pt idx="108">
                  <c:v>-162.47978736610165</c:v>
                </c:pt>
                <c:pt idx="109">
                  <c:v>-166.56978055955898</c:v>
                </c:pt>
                <c:pt idx="110">
                  <c:v>-171.17014809874516</c:v>
                </c:pt>
                <c:pt idx="111">
                  <c:v>-175.92514023506536</c:v>
                </c:pt>
                <c:pt idx="112">
                  <c:v>-179.54934624432897</c:v>
                </c:pt>
                <c:pt idx="113">
                  <c:v>-181.29486413427355</c:v>
                </c:pt>
                <c:pt idx="114">
                  <c:v>-182.34544713832514</c:v>
                </c:pt>
                <c:pt idx="115">
                  <c:v>-183.33671590967765</c:v>
                </c:pt>
                <c:pt idx="116">
                  <c:v>-184.24016363322414</c:v>
                </c:pt>
                <c:pt idx="117">
                  <c:v>-185.18487239813851</c:v>
                </c:pt>
                <c:pt idx="118">
                  <c:v>-186.28116124744997</c:v>
                </c:pt>
                <c:pt idx="119">
                  <c:v>-187.36784249635514</c:v>
                </c:pt>
                <c:pt idx="120">
                  <c:v>-188.37944434176899</c:v>
                </c:pt>
              </c:numCache>
            </c:numRef>
          </c:yVal>
          <c:smooth val="1"/>
        </c:ser>
        <c:ser>
          <c:idx val="4"/>
          <c:order val="4"/>
          <c:tx>
            <c:v>rleak</c:v>
          </c:tx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'5thOrderClosedLoopPhaseNoise'!$R$8:$R$128</c:f>
              <c:numCache>
                <c:formatCode>0.00</c:formatCode>
                <c:ptCount val="121"/>
                <c:pt idx="0">
                  <c:v>-133.88075694876898</c:v>
                </c:pt>
                <c:pt idx="1">
                  <c:v>-133.88075598615137</c:v>
                </c:pt>
                <c:pt idx="2">
                  <c:v>-133.88075477428859</c:v>
                </c:pt>
                <c:pt idx="3">
                  <c:v>-133.88075324864528</c:v>
                </c:pt>
                <c:pt idx="4">
                  <c:v>-133.88075132797641</c:v>
                </c:pt>
                <c:pt idx="5">
                  <c:v>-133.88074891000133</c:v>
                </c:pt>
                <c:pt idx="6">
                  <c:v>-133.88074586595698</c:v>
                </c:pt>
                <c:pt idx="7">
                  <c:v>-133.88074203374165</c:v>
                </c:pt>
                <c:pt idx="8">
                  <c:v>-133.88073720928315</c:v>
                </c:pt>
                <c:pt idx="9">
                  <c:v>-133.88073113567347</c:v>
                </c:pt>
                <c:pt idx="10">
                  <c:v>-133.88072348948927</c:v>
                </c:pt>
                <c:pt idx="11">
                  <c:v>-133.88071386357294</c:v>
                </c:pt>
                <c:pt idx="12">
                  <c:v>-133.88070174535625</c:v>
                </c:pt>
                <c:pt idx="13">
                  <c:v>-133.88068648957412</c:v>
                </c:pt>
                <c:pt idx="14">
                  <c:v>-133.88066728391831</c:v>
                </c:pt>
                <c:pt idx="15">
                  <c:v>-133.88064310580421</c:v>
                </c:pt>
                <c:pt idx="16">
                  <c:v>-133.88061266795461</c:v>
                </c:pt>
                <c:pt idx="17">
                  <c:v>-133.88057434991163</c:v>
                </c:pt>
                <c:pt idx="18">
                  <c:v>-133.88052611184233</c:v>
                </c:pt>
                <c:pt idx="19">
                  <c:v>-133.88046538607034</c:v>
                </c:pt>
                <c:pt idx="20">
                  <c:v>-133.88038894059184</c:v>
                </c:pt>
                <c:pt idx="21">
                  <c:v>-133.88029270736166</c:v>
                </c:pt>
                <c:pt idx="22">
                  <c:v>-133.88017156629283</c:v>
                </c:pt>
                <c:pt idx="23">
                  <c:v>-133.88001907360299</c:v>
                </c:pt>
                <c:pt idx="24">
                  <c:v>-133.87982712025996</c:v>
                </c:pt>
                <c:pt idx="25">
                  <c:v>-133.8795855026809</c:v>
                </c:pt>
                <c:pt idx="26">
                  <c:v>-133.8792813833696</c:v>
                </c:pt>
                <c:pt idx="27">
                  <c:v>-133.87889861363169</c:v>
                </c:pt>
                <c:pt idx="28">
                  <c:v>-133.8784168836653</c:v>
                </c:pt>
                <c:pt idx="29">
                  <c:v>-133.87781065692735</c:v>
                </c:pt>
                <c:pt idx="30">
                  <c:v>-133.87704783543947</c:v>
                </c:pt>
                <c:pt idx="31">
                  <c:v>-133.87608809034612</c:v>
                </c:pt>
                <c:pt idx="32">
                  <c:v>-133.87488077732857</c:v>
                </c:pt>
                <c:pt idx="33">
                  <c:v>-133.87336233926584</c:v>
                </c:pt>
                <c:pt idx="34">
                  <c:v>-133.87145307892109</c:v>
                </c:pt>
                <c:pt idx="35">
                  <c:v>-133.86905316292027</c:v>
                </c:pt>
                <c:pt idx="36">
                  <c:v>-133.86603769614567</c:v>
                </c:pt>
                <c:pt idx="37">
                  <c:v>-133.86225068536814</c:v>
                </c:pt>
                <c:pt idx="38">
                  <c:v>-133.85749769694559</c:v>
                </c:pt>
                <c:pt idx="39">
                  <c:v>-133.85153701323492</c:v>
                </c:pt>
                <c:pt idx="40">
                  <c:v>-133.84406911805246</c:v>
                </c:pt>
                <c:pt idx="41">
                  <c:v>-133.83472441166225</c:v>
                </c:pt>
                <c:pt idx="42">
                  <c:v>-133.82304919779335</c:v>
                </c:pt>
                <c:pt idx="43">
                  <c:v>-133.80849023755772</c:v>
                </c:pt>
                <c:pt idx="44">
                  <c:v>-133.7903785783131</c:v>
                </c:pt>
                <c:pt idx="45">
                  <c:v>-133.76791399919372</c:v>
                </c:pt>
                <c:pt idx="46">
                  <c:v>-133.74015232742357</c:v>
                </c:pt>
                <c:pt idx="47">
                  <c:v>-133.70599910185859</c:v>
                </c:pt>
                <c:pt idx="48">
                  <c:v>-133.66421454793547</c:v>
                </c:pt>
                <c:pt idx="49">
                  <c:v>-133.61343638231165</c:v>
                </c:pt>
                <c:pt idx="50">
                  <c:v>-133.55222812881291</c:v>
                </c:pt>
                <c:pt idx="51">
                  <c:v>-133.47916059120305</c:v>
                </c:pt>
                <c:pt idx="52">
                  <c:v>-133.39293173779402</c:v>
                </c:pt>
                <c:pt idx="53">
                  <c:v>-133.29252426064801</c:v>
                </c:pt>
                <c:pt idx="54">
                  <c:v>-133.17738979966987</c:v>
                </c:pt>
                <c:pt idx="55">
                  <c:v>-133.0476352314989</c:v>
                </c:pt>
                <c:pt idx="56">
                  <c:v>-132.90417318764787</c:v>
                </c:pt>
                <c:pt idx="57">
                  <c:v>-132.74879257944295</c:v>
                </c:pt>
                <c:pt idx="58">
                  <c:v>-132.58411273799402</c:v>
                </c:pt>
                <c:pt idx="59">
                  <c:v>-132.41341098263862</c:v>
                </c:pt>
                <c:pt idx="60">
                  <c:v>-132.24035479142637</c:v>
                </c:pt>
                <c:pt idx="61">
                  <c:v>-132.06871511938863</c:v>
                </c:pt>
                <c:pt idx="62">
                  <c:v>-131.90217313953076</c:v>
                </c:pt>
                <c:pt idx="63">
                  <c:v>-131.7443516963238</c:v>
                </c:pt>
                <c:pt idx="64">
                  <c:v>-131.59921082237889</c:v>
                </c:pt>
                <c:pt idx="65">
                  <c:v>-131.47195941926606</c:v>
                </c:pt>
                <c:pt idx="66">
                  <c:v>-131.37066302210377</c:v>
                </c:pt>
                <c:pt idx="67">
                  <c:v>-131.30874473308157</c:v>
                </c:pt>
                <c:pt idx="68">
                  <c:v>-131.3084637981695</c:v>
                </c:pt>
                <c:pt idx="69">
                  <c:v>-131.40491770659014</c:v>
                </c:pt>
                <c:pt idx="70">
                  <c:v>-131.64869641553591</c:v>
                </c:pt>
                <c:pt idx="71">
                  <c:v>-132.10306118492801</c:v>
                </c:pt>
                <c:pt idx="72">
                  <c:v>-132.83080508068809</c:v>
                </c:pt>
                <c:pt idx="73">
                  <c:v>-133.87191713693196</c:v>
                </c:pt>
                <c:pt idx="74">
                  <c:v>-135.22524148769131</c:v>
                </c:pt>
                <c:pt idx="75">
                  <c:v>-136.84979906346601</c:v>
                </c:pt>
                <c:pt idx="76">
                  <c:v>-138.68460651471767</c:v>
                </c:pt>
                <c:pt idx="77">
                  <c:v>-140.67057318117168</c:v>
                </c:pt>
                <c:pt idx="78">
                  <c:v>-142.76251862964406</c:v>
                </c:pt>
                <c:pt idx="79">
                  <c:v>-144.93127054103331</c:v>
                </c:pt>
                <c:pt idx="80">
                  <c:v>-147.1608247083569</c:v>
                </c:pt>
                <c:pt idx="81">
                  <c:v>-149.44442724054022</c:v>
                </c:pt>
                <c:pt idx="82">
                  <c:v>-151.78121377313485</c:v>
                </c:pt>
                <c:pt idx="83">
                  <c:v>-154.17373594486082</c:v>
                </c:pt>
                <c:pt idx="84">
                  <c:v>-156.6262422700093</c:v>
                </c:pt>
                <c:pt idx="85">
                  <c:v>-159.14351293650799</c:v>
                </c:pt>
                <c:pt idx="86">
                  <c:v>-161.73010031560295</c:v>
                </c:pt>
                <c:pt idx="87">
                  <c:v>-164.38988461514759</c:v>
                </c:pt>
                <c:pt idx="88">
                  <c:v>-167.12588344089301</c:v>
                </c:pt>
                <c:pt idx="89">
                  <c:v>-169.9402555938193</c:v>
                </c:pt>
                <c:pt idx="90">
                  <c:v>-172.83442726527159</c:v>
                </c:pt>
                <c:pt idx="91">
                  <c:v>-175.80925936084626</c:v>
                </c:pt>
                <c:pt idx="92">
                  <c:v>-178.86517958962185</c:v>
                </c:pt>
                <c:pt idx="93">
                  <c:v>-182.0022254462572</c:v>
                </c:pt>
                <c:pt idx="94">
                  <c:v>-185.21997967812811</c:v>
                </c:pt>
                <c:pt idx="95">
                  <c:v>-188.51741868336333</c:v>
                </c:pt>
                <c:pt idx="96">
                  <c:v>-191.89272539053152</c:v>
                </c:pt>
                <c:pt idx="97">
                  <c:v>-195.34313216898707</c:v>
                </c:pt>
                <c:pt idx="98">
                  <c:v>-198.86485190802088</c:v>
                </c:pt>
                <c:pt idx="99">
                  <c:v>-202.45312964719716</c:v>
                </c:pt>
                <c:pt idx="100">
                  <c:v>-206.10241294323242</c:v>
                </c:pt>
                <c:pt idx="101">
                  <c:v>-209.80660911188551</c:v>
                </c:pt>
                <c:pt idx="102">
                  <c:v>-213.55938108211313</c:v>
                </c:pt>
                <c:pt idx="103">
                  <c:v>-217.35443343929842</c:v>
                </c:pt>
                <c:pt idx="104">
                  <c:v>-221.1857523249634</c:v>
                </c:pt>
                <c:pt idx="105">
                  <c:v>-225.04778008777012</c:v>
                </c:pt>
                <c:pt idx="106">
                  <c:v>-228.93552154248809</c:v>
                </c:pt>
                <c:pt idx="107">
                  <c:v>-232.84458980625485</c:v>
                </c:pt>
                <c:pt idx="108">
                  <c:v>-236.77120524380243</c:v>
                </c:pt>
                <c:pt idx="109">
                  <c:v>-240.71216216963009</c:v>
                </c:pt>
                <c:pt idx="110">
                  <c:v>-244.66477633488074</c:v>
                </c:pt>
                <c:pt idx="111">
                  <c:v>-248.62682339953619</c:v>
                </c:pt>
                <c:pt idx="112">
                  <c:v>-252.59647559727583</c:v>
                </c:pt>
                <c:pt idx="113">
                  <c:v>-256.57224119621276</c:v>
                </c:pt>
                <c:pt idx="114">
                  <c:v>-260.55290934688878</c:v>
                </c:pt>
                <c:pt idx="115">
                  <c:v>-264.53750148727801</c:v>
                </c:pt>
                <c:pt idx="116">
                  <c:v>-268.52522954734025</c:v>
                </c:pt>
                <c:pt idx="117">
                  <c:v>-272.51546064166536</c:v>
                </c:pt>
                <c:pt idx="118">
                  <c:v>-276.50768764579504</c:v>
                </c:pt>
                <c:pt idx="119">
                  <c:v>-280.50150492990332</c:v>
                </c:pt>
                <c:pt idx="120">
                  <c:v>-284.49658850641316</c:v>
                </c:pt>
              </c:numCache>
            </c:numRef>
          </c:yVal>
          <c:smooth val="1"/>
        </c:ser>
        <c:ser>
          <c:idx val="5"/>
          <c:order val="5"/>
          <c:tx>
            <c:v>rcp</c:v>
          </c:tx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'5thOrderClosedLoopPhaseNoise'!$T$8:$T$128</c:f>
              <c:numCache>
                <c:formatCode>0.00</c:formatCode>
                <c:ptCount val="121"/>
                <c:pt idx="0">
                  <c:v>-129.22224868471628</c:v>
                </c:pt>
                <c:pt idx="1">
                  <c:v>-129.2222477220987</c:v>
                </c:pt>
                <c:pt idx="2">
                  <c:v>-129.22224651023589</c:v>
                </c:pt>
                <c:pt idx="3">
                  <c:v>-129.22224498459258</c:v>
                </c:pt>
                <c:pt idx="4">
                  <c:v>-129.22224306392371</c:v>
                </c:pt>
                <c:pt idx="5">
                  <c:v>-129.22224064594869</c:v>
                </c:pt>
                <c:pt idx="6">
                  <c:v>-129.22223760190428</c:v>
                </c:pt>
                <c:pt idx="7">
                  <c:v>-129.22223376968898</c:v>
                </c:pt>
                <c:pt idx="8">
                  <c:v>-129.22222894523048</c:v>
                </c:pt>
                <c:pt idx="9">
                  <c:v>-129.22222287162077</c:v>
                </c:pt>
                <c:pt idx="10">
                  <c:v>-129.22221522543663</c:v>
                </c:pt>
                <c:pt idx="11">
                  <c:v>-129.22220559952027</c:v>
                </c:pt>
                <c:pt idx="12">
                  <c:v>-129.22219348130358</c:v>
                </c:pt>
                <c:pt idx="13">
                  <c:v>-129.22217822552145</c:v>
                </c:pt>
                <c:pt idx="14">
                  <c:v>-129.22215901986564</c:v>
                </c:pt>
                <c:pt idx="15">
                  <c:v>-129.22213484175154</c:v>
                </c:pt>
                <c:pt idx="16">
                  <c:v>-129.22210440390194</c:v>
                </c:pt>
                <c:pt idx="17">
                  <c:v>-129.22206608585896</c:v>
                </c:pt>
                <c:pt idx="18">
                  <c:v>-129.22201784778966</c:v>
                </c:pt>
                <c:pt idx="19">
                  <c:v>-129.22195712201767</c:v>
                </c:pt>
                <c:pt idx="20">
                  <c:v>-129.22188067653914</c:v>
                </c:pt>
                <c:pt idx="21">
                  <c:v>-129.22178444330899</c:v>
                </c:pt>
                <c:pt idx="22">
                  <c:v>-129.22166330224013</c:v>
                </c:pt>
                <c:pt idx="23">
                  <c:v>-129.22151080955032</c:v>
                </c:pt>
                <c:pt idx="24">
                  <c:v>-129.22131885620726</c:v>
                </c:pt>
                <c:pt idx="25">
                  <c:v>-129.22107723862823</c:v>
                </c:pt>
                <c:pt idx="26">
                  <c:v>-129.2207731193169</c:v>
                </c:pt>
                <c:pt idx="27">
                  <c:v>-129.22039034957902</c:v>
                </c:pt>
                <c:pt idx="28">
                  <c:v>-129.2199086196126</c:v>
                </c:pt>
                <c:pt idx="29">
                  <c:v>-129.21930239287465</c:v>
                </c:pt>
                <c:pt idx="30">
                  <c:v>-129.2185395713868</c:v>
                </c:pt>
                <c:pt idx="31">
                  <c:v>-129.21757982629344</c:v>
                </c:pt>
                <c:pt idx="32">
                  <c:v>-129.21637251327587</c:v>
                </c:pt>
                <c:pt idx="33">
                  <c:v>-129.21485407521317</c:v>
                </c:pt>
                <c:pt idx="34">
                  <c:v>-129.21294481486842</c:v>
                </c:pt>
                <c:pt idx="35">
                  <c:v>-129.2105448988676</c:v>
                </c:pt>
                <c:pt idx="36">
                  <c:v>-129.207529432093</c:v>
                </c:pt>
                <c:pt idx="37">
                  <c:v>-129.20374242131547</c:v>
                </c:pt>
                <c:pt idx="38">
                  <c:v>-129.19898943289292</c:v>
                </c:pt>
                <c:pt idx="39">
                  <c:v>-129.19302874918225</c:v>
                </c:pt>
                <c:pt idx="40">
                  <c:v>-129.18556085399982</c:v>
                </c:pt>
                <c:pt idx="41">
                  <c:v>-129.17621614760958</c:v>
                </c:pt>
                <c:pt idx="42">
                  <c:v>-129.16454093374065</c:v>
                </c:pt>
                <c:pt idx="43">
                  <c:v>-129.14998197350502</c:v>
                </c:pt>
                <c:pt idx="44">
                  <c:v>-129.1318703142604</c:v>
                </c:pt>
                <c:pt idx="45">
                  <c:v>-129.10940573514102</c:v>
                </c:pt>
                <c:pt idx="46">
                  <c:v>-129.08164406337087</c:v>
                </c:pt>
                <c:pt idx="47">
                  <c:v>-129.0474908378059</c:v>
                </c:pt>
                <c:pt idx="48">
                  <c:v>-129.00570628388277</c:v>
                </c:pt>
                <c:pt idx="49">
                  <c:v>-128.95492811825898</c:v>
                </c:pt>
                <c:pt idx="50">
                  <c:v>-128.89371986476024</c:v>
                </c:pt>
                <c:pt idx="51">
                  <c:v>-128.82065232715036</c:v>
                </c:pt>
                <c:pt idx="52">
                  <c:v>-128.73442347374134</c:v>
                </c:pt>
                <c:pt idx="53">
                  <c:v>-128.63401599659534</c:v>
                </c:pt>
                <c:pt idx="54">
                  <c:v>-128.5188815356172</c:v>
                </c:pt>
                <c:pt idx="55">
                  <c:v>-128.38912696744623</c:v>
                </c:pt>
                <c:pt idx="56">
                  <c:v>-128.2456649235952</c:v>
                </c:pt>
                <c:pt idx="57">
                  <c:v>-128.09028431539025</c:v>
                </c:pt>
                <c:pt idx="58">
                  <c:v>-127.92560447394135</c:v>
                </c:pt>
                <c:pt idx="59">
                  <c:v>-127.75490271858595</c:v>
                </c:pt>
                <c:pt idx="60">
                  <c:v>-127.58184652737368</c:v>
                </c:pt>
                <c:pt idx="61">
                  <c:v>-127.41020685533596</c:v>
                </c:pt>
                <c:pt idx="62">
                  <c:v>-127.24366487547812</c:v>
                </c:pt>
                <c:pt idx="63">
                  <c:v>-127.08584343227113</c:v>
                </c:pt>
                <c:pt idx="64">
                  <c:v>-126.94070255832621</c:v>
                </c:pt>
                <c:pt idx="65">
                  <c:v>-126.81345115521337</c:v>
                </c:pt>
                <c:pt idx="66">
                  <c:v>-126.7121547580511</c:v>
                </c:pt>
                <c:pt idx="67">
                  <c:v>-126.65023646902888</c:v>
                </c:pt>
                <c:pt idx="68">
                  <c:v>-126.64995553411683</c:v>
                </c:pt>
                <c:pt idx="69">
                  <c:v>-126.74640944253746</c:v>
                </c:pt>
                <c:pt idx="70">
                  <c:v>-126.99018815148322</c:v>
                </c:pt>
                <c:pt idx="71">
                  <c:v>-127.44455292087535</c:v>
                </c:pt>
                <c:pt idx="72">
                  <c:v>-128.17229681663542</c:v>
                </c:pt>
                <c:pt idx="73">
                  <c:v>-129.21340887287928</c:v>
                </c:pt>
                <c:pt idx="74">
                  <c:v>-130.56673322363864</c:v>
                </c:pt>
                <c:pt idx="75">
                  <c:v>-132.19129079941331</c:v>
                </c:pt>
                <c:pt idx="76">
                  <c:v>-134.026098250665</c:v>
                </c:pt>
                <c:pt idx="77">
                  <c:v>-136.01206491711901</c:v>
                </c:pt>
                <c:pt idx="78">
                  <c:v>-138.10401036559136</c:v>
                </c:pt>
                <c:pt idx="79">
                  <c:v>-140.27276227698064</c:v>
                </c:pt>
                <c:pt idx="80">
                  <c:v>-142.5023164443042</c:v>
                </c:pt>
                <c:pt idx="81">
                  <c:v>-144.78591897648755</c:v>
                </c:pt>
                <c:pt idx="82">
                  <c:v>-147.12270550908218</c:v>
                </c:pt>
                <c:pt idx="83">
                  <c:v>-149.51522768080815</c:v>
                </c:pt>
                <c:pt idx="84">
                  <c:v>-151.96773400595663</c:v>
                </c:pt>
                <c:pt idx="85">
                  <c:v>-154.48500467245532</c:v>
                </c:pt>
                <c:pt idx="86">
                  <c:v>-157.07159205155028</c:v>
                </c:pt>
                <c:pt idx="87">
                  <c:v>-159.73137635109492</c:v>
                </c:pt>
                <c:pt idx="88">
                  <c:v>-162.46737517684033</c:v>
                </c:pt>
                <c:pt idx="89">
                  <c:v>-165.28174732976666</c:v>
                </c:pt>
                <c:pt idx="90">
                  <c:v>-168.17591900121892</c:v>
                </c:pt>
                <c:pt idx="91">
                  <c:v>-171.15075109679361</c:v>
                </c:pt>
                <c:pt idx="92">
                  <c:v>-174.20667132556918</c:v>
                </c:pt>
                <c:pt idx="93">
                  <c:v>-177.3437171822045</c:v>
                </c:pt>
                <c:pt idx="94">
                  <c:v>-180.56147141407541</c:v>
                </c:pt>
                <c:pt idx="95">
                  <c:v>-183.85891041931069</c:v>
                </c:pt>
                <c:pt idx="96">
                  <c:v>-187.23421712647882</c:v>
                </c:pt>
                <c:pt idx="97">
                  <c:v>-190.68462390493437</c:v>
                </c:pt>
                <c:pt idx="98">
                  <c:v>-194.20634364396821</c:v>
                </c:pt>
                <c:pt idx="99">
                  <c:v>-197.79462138314449</c:v>
                </c:pt>
                <c:pt idx="100">
                  <c:v>-201.44390467917975</c:v>
                </c:pt>
                <c:pt idx="101">
                  <c:v>-205.14810084783281</c:v>
                </c:pt>
                <c:pt idx="102">
                  <c:v>-208.90087281806044</c:v>
                </c:pt>
                <c:pt idx="103">
                  <c:v>-212.69592517524575</c:v>
                </c:pt>
                <c:pt idx="104">
                  <c:v>-216.5272440609107</c:v>
                </c:pt>
                <c:pt idx="105">
                  <c:v>-220.38927182371742</c:v>
                </c:pt>
                <c:pt idx="106">
                  <c:v>-224.27701327843539</c:v>
                </c:pt>
                <c:pt idx="107">
                  <c:v>-228.18608154220217</c:v>
                </c:pt>
                <c:pt idx="108">
                  <c:v>-232.11269697974978</c:v>
                </c:pt>
                <c:pt idx="109">
                  <c:v>-236.05365390557745</c:v>
                </c:pt>
                <c:pt idx="110">
                  <c:v>-240.0062680708281</c:v>
                </c:pt>
                <c:pt idx="111">
                  <c:v>-243.96831513548349</c:v>
                </c:pt>
                <c:pt idx="112">
                  <c:v>-247.93796733322313</c:v>
                </c:pt>
                <c:pt idx="113">
                  <c:v>-251.91373293216009</c:v>
                </c:pt>
                <c:pt idx="114">
                  <c:v>-255.89440108283614</c:v>
                </c:pt>
                <c:pt idx="115">
                  <c:v>-259.87899322322528</c:v>
                </c:pt>
                <c:pt idx="116">
                  <c:v>-263.86672128328757</c:v>
                </c:pt>
                <c:pt idx="117">
                  <c:v>-267.85695237761269</c:v>
                </c:pt>
                <c:pt idx="118">
                  <c:v>-271.84917938174232</c:v>
                </c:pt>
                <c:pt idx="119">
                  <c:v>-275.84299666585059</c:v>
                </c:pt>
                <c:pt idx="120">
                  <c:v>-279.83808024236049</c:v>
                </c:pt>
              </c:numCache>
            </c:numRef>
          </c:yVal>
          <c:smooth val="1"/>
        </c:ser>
        <c:ser>
          <c:idx val="6"/>
          <c:order val="6"/>
          <c:tx>
            <c:v>lpf</c:v>
          </c:tx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'5thOrderClosedLoopPhaseNoise'!$V$8:$V$128</c:f>
              <c:numCache>
                <c:formatCode>0.00</c:formatCode>
                <c:ptCount val="121"/>
                <c:pt idx="0">
                  <c:v>-186.97184714426444</c:v>
                </c:pt>
                <c:pt idx="1">
                  <c:v>-185.97184816701366</c:v>
                </c:pt>
                <c:pt idx="2">
                  <c:v>-184.97184945457821</c:v>
                </c:pt>
                <c:pt idx="3">
                  <c:v>-183.97185107552548</c:v>
                </c:pt>
                <c:pt idx="4">
                  <c:v>-182.97185311617622</c:v>
                </c:pt>
                <c:pt idx="5">
                  <c:v>-181.97185568520189</c:v>
                </c:pt>
                <c:pt idx="6">
                  <c:v>-180.97185891941115</c:v>
                </c:pt>
                <c:pt idx="7">
                  <c:v>-179.97186299103566</c:v>
                </c:pt>
                <c:pt idx="8">
                  <c:v>-178.9718681169015</c:v>
                </c:pt>
                <c:pt idx="9">
                  <c:v>-177.97187456997491</c:v>
                </c:pt>
                <c:pt idx="10">
                  <c:v>-176.97188269389841</c:v>
                </c:pt>
                <c:pt idx="11">
                  <c:v>-175.97189292128871</c:v>
                </c:pt>
                <c:pt idx="12">
                  <c:v>-174.97190579677354</c:v>
                </c:pt>
                <c:pt idx="13">
                  <c:v>-173.97192200599005</c:v>
                </c:pt>
                <c:pt idx="14">
                  <c:v>-172.97194241209189</c:v>
                </c:pt>
                <c:pt idx="15">
                  <c:v>-171.97196810170533</c:v>
                </c:pt>
                <c:pt idx="16">
                  <c:v>-170.97200044277969</c:v>
                </c:pt>
                <c:pt idx="17">
                  <c:v>-169.97204115741113</c:v>
                </c:pt>
                <c:pt idx="18">
                  <c:v>-168.97209241351078</c:v>
                </c:pt>
                <c:pt idx="19">
                  <c:v>-167.97215694019062</c:v>
                </c:pt>
                <c:pt idx="20">
                  <c:v>-166.97223817299931</c:v>
                </c:pt>
                <c:pt idx="21">
                  <c:v>-165.97234043671915</c:v>
                </c:pt>
                <c:pt idx="22">
                  <c:v>-164.97246917542685</c:v>
                </c:pt>
                <c:pt idx="23">
                  <c:v>-163.97263124201262</c:v>
                </c:pt>
                <c:pt idx="24">
                  <c:v>-162.97283526249342</c:v>
                </c:pt>
                <c:pt idx="25">
                  <c:v>-161.97309209438242</c:v>
                </c:pt>
                <c:pt idx="26">
                  <c:v>-160.97341540331269</c:v>
                </c:pt>
                <c:pt idx="27">
                  <c:v>-159.97382238827987</c:v>
                </c:pt>
                <c:pt idx="28">
                  <c:v>-158.97433469358856</c:v>
                </c:pt>
                <c:pt idx="29">
                  <c:v>-157.97497955521192</c:v>
                </c:pt>
                <c:pt idx="30">
                  <c:v>-156.97579124126372</c:v>
                </c:pt>
                <c:pt idx="31">
                  <c:v>-155.97681286115585</c:v>
                </c:pt>
                <c:pt idx="32">
                  <c:v>-154.97809863640566</c:v>
                </c:pt>
                <c:pt idx="33">
                  <c:v>-153.97971674867935</c:v>
                </c:pt>
                <c:pt idx="34">
                  <c:v>-152.98175290829971</c:v>
                </c:pt>
                <c:pt idx="35">
                  <c:v>-151.9843148199312</c:v>
                </c:pt>
                <c:pt idx="36">
                  <c:v>-150.98753776224737</c:v>
                </c:pt>
                <c:pt idx="37">
                  <c:v>-149.9915915456356</c:v>
                </c:pt>
                <c:pt idx="38">
                  <c:v>-148.99668916645061</c:v>
                </c:pt>
                <c:pt idx="39">
                  <c:v>-148.00309753709118</c:v>
                </c:pt>
                <c:pt idx="40">
                  <c:v>-147.01115073564512</c:v>
                </c:pt>
                <c:pt idx="41">
                  <c:v>-146.02126628159905</c:v>
                </c:pt>
                <c:pt idx="42">
                  <c:v>-145.03396499519408</c:v>
                </c:pt>
                <c:pt idx="43">
                  <c:v>-144.0498950204952</c:v>
                </c:pt>
                <c:pt idx="44">
                  <c:v>-143.06986055893859</c:v>
                </c:pt>
                <c:pt idx="45">
                  <c:v>-142.09485572935512</c:v>
                </c:pt>
                <c:pt idx="46">
                  <c:v>-141.12610368154429</c:v>
                </c:pt>
                <c:pt idx="47">
                  <c:v>-140.16510055998654</c:v>
                </c:pt>
                <c:pt idx="48">
                  <c:v>-139.21366303644612</c:v>
                </c:pt>
                <c:pt idx="49">
                  <c:v>-138.27397678665645</c:v>
                </c:pt>
                <c:pt idx="50">
                  <c:v>-137.34864137472022</c:v>
                </c:pt>
                <c:pt idx="51">
                  <c:v>-136.44070450284286</c:v>
                </c:pt>
                <c:pt idx="52">
                  <c:v>-135.55367563558815</c:v>
                </c:pt>
                <c:pt idx="53">
                  <c:v>-134.69150609288604</c:v>
                </c:pt>
                <c:pt idx="54">
                  <c:v>-133.85852077913202</c:v>
                </c:pt>
                <c:pt idx="55">
                  <c:v>-133.05928728081102</c:v>
                </c:pt>
                <c:pt idx="56">
                  <c:v>-132.29841299682241</c:v>
                </c:pt>
                <c:pt idx="57">
                  <c:v>-131.58027190069936</c:v>
                </c:pt>
                <c:pt idx="58">
                  <c:v>-130.90867980745838</c:v>
                </c:pt>
                <c:pt idx="59">
                  <c:v>-130.28655853716077</c:v>
                </c:pt>
                <c:pt idx="60">
                  <c:v>-129.71565034396173</c:v>
                </c:pt>
                <c:pt idx="61">
                  <c:v>-129.19635856397716</c:v>
                </c:pt>
                <c:pt idx="62">
                  <c:v>-128.72779538658466</c:v>
                </c:pt>
                <c:pt idx="63">
                  <c:v>-128.30811633148573</c:v>
                </c:pt>
                <c:pt idx="64">
                  <c:v>-127.9352245193451</c:v>
                </c:pt>
                <c:pt idx="65">
                  <c:v>-127.60795030163193</c:v>
                </c:pt>
                <c:pt idx="66">
                  <c:v>-127.32785748232999</c:v>
                </c:pt>
                <c:pt idx="67">
                  <c:v>-127.10186356950632</c:v>
                </c:pt>
                <c:pt idx="68">
                  <c:v>-126.94576437543601</c:v>
                </c:pt>
                <c:pt idx="69">
                  <c:v>-126.88822494476992</c:v>
                </c:pt>
                <c:pt idx="70">
                  <c:v>-126.97338712544287</c:v>
                </c:pt>
                <c:pt idx="71">
                  <c:v>-127.25799047786934</c:v>
                </c:pt>
                <c:pt idx="72">
                  <c:v>-127.79818849994456</c:v>
                </c:pt>
                <c:pt idx="73">
                  <c:v>-128.62720644860826</c:v>
                </c:pt>
                <c:pt idx="74">
                  <c:v>-129.73705377936705</c:v>
                </c:pt>
                <c:pt idx="75">
                  <c:v>-131.07997453641087</c:v>
                </c:pt>
                <c:pt idx="76">
                  <c:v>-132.58847516725382</c:v>
                </c:pt>
                <c:pt idx="77">
                  <c:v>-134.19749902613452</c:v>
                </c:pt>
                <c:pt idx="78">
                  <c:v>-135.85675863877123</c:v>
                </c:pt>
                <c:pt idx="79">
                  <c:v>-137.53313560918545</c:v>
                </c:pt>
                <c:pt idx="80">
                  <c:v>-139.20807004337075</c:v>
                </c:pt>
                <c:pt idx="81">
                  <c:v>-140.87374423553078</c:v>
                </c:pt>
                <c:pt idx="82">
                  <c:v>-142.52966058662307</c:v>
                </c:pt>
                <c:pt idx="83">
                  <c:v>-144.1799407466618</c:v>
                </c:pt>
                <c:pt idx="84">
                  <c:v>-145.83124294907384</c:v>
                </c:pt>
                <c:pt idx="85">
                  <c:v>-147.49115192184567</c:v>
                </c:pt>
                <c:pt idx="86">
                  <c:v>-149.16695925985459</c:v>
                </c:pt>
                <c:pt idx="87">
                  <c:v>-150.8648069058965</c:v>
                </c:pt>
                <c:pt idx="88">
                  <c:v>-152.58918246384494</c:v>
                </c:pt>
                <c:pt idx="89">
                  <c:v>-154.34273852894327</c:v>
                </c:pt>
                <c:pt idx="90">
                  <c:v>-156.12637813617138</c:v>
                </c:pt>
                <c:pt idx="91">
                  <c:v>-157.93952407802044</c:v>
                </c:pt>
                <c:pt idx="92">
                  <c:v>-159.7804827456284</c:v>
                </c:pt>
                <c:pt idx="93">
                  <c:v>-161.64682440792194</c:v>
                </c:pt>
                <c:pt idx="94">
                  <c:v>-163.53572484427997</c:v>
                </c:pt>
                <c:pt idx="95">
                  <c:v>-165.4442389616396</c:v>
                </c:pt>
                <c:pt idx="96">
                  <c:v>-167.36949847832167</c:v>
                </c:pt>
                <c:pt idx="97">
                  <c:v>-169.30883980976125</c:v>
                </c:pt>
                <c:pt idx="98">
                  <c:v>-171.25987513176852</c:v>
                </c:pt>
                <c:pt idx="99">
                  <c:v>-173.22052119257702</c:v>
                </c:pt>
                <c:pt idx="100">
                  <c:v>-175.18899909965927</c:v>
                </c:pt>
                <c:pt idx="101">
                  <c:v>-177.16381580988696</c:v>
                </c:pt>
                <c:pt idx="102">
                  <c:v>-179.14373543650851</c:v>
                </c:pt>
                <c:pt idx="103">
                  <c:v>-181.12774618494268</c:v>
                </c:pt>
                <c:pt idx="104">
                  <c:v>-183.11502684343697</c:v>
                </c:pt>
                <c:pt idx="105">
                  <c:v>-185.1049152690253</c:v>
                </c:pt>
                <c:pt idx="106">
                  <c:v>-187.0968801881998</c:v>
                </c:pt>
                <c:pt idx="107">
                  <c:v>-189.090496836733</c:v>
                </c:pt>
                <c:pt idx="108">
                  <c:v>-191.08542644597381</c:v>
                </c:pt>
                <c:pt idx="109">
                  <c:v>-193.08139928487196</c:v>
                </c:pt>
                <c:pt idx="110">
                  <c:v>-195.07820082613063</c:v>
                </c:pt>
                <c:pt idx="111">
                  <c:v>-197.07566056587464</c:v>
                </c:pt>
                <c:pt idx="112">
                  <c:v>-199.07364304583055</c:v>
                </c:pt>
                <c:pt idx="113">
                  <c:v>-201.07204067525225</c:v>
                </c:pt>
                <c:pt idx="114">
                  <c:v>-203.07076800803728</c:v>
                </c:pt>
                <c:pt idx="115">
                  <c:v>-205.0697571882211</c:v>
                </c:pt>
                <c:pt idx="116">
                  <c:v>-207.06895432930409</c:v>
                </c:pt>
                <c:pt idx="117">
                  <c:v>-209.06831663779576</c:v>
                </c:pt>
                <c:pt idx="118">
                  <c:v>-211.06781012880583</c:v>
                </c:pt>
                <c:pt idx="119">
                  <c:v>-213.06740781213463</c:v>
                </c:pt>
                <c:pt idx="120">
                  <c:v>-215.06708825204922</c:v>
                </c:pt>
              </c:numCache>
            </c:numRef>
          </c:yVal>
          <c:smooth val="1"/>
        </c:ser>
        <c:ser>
          <c:idx val="7"/>
          <c:order val="7"/>
          <c:tx>
            <c:v>op amp</c:v>
          </c:tx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'5thOrderClosedLoopPhaseNoise'!$AC$8:$AC$128</c:f>
              <c:numCache>
                <c:formatCode>General</c:formatCode>
                <c:ptCount val="121"/>
                <c:pt idx="0">
                  <c:v>-135.7794258107084</c:v>
                </c:pt>
                <c:pt idx="1">
                  <c:v>-135.77942485825571</c:v>
                </c:pt>
                <c:pt idx="2">
                  <c:v>-135.77942365918966</c:v>
                </c:pt>
                <c:pt idx="3">
                  <c:v>-135.77942214965651</c:v>
                </c:pt>
                <c:pt idx="4">
                  <c:v>-135.77942024926912</c:v>
                </c:pt>
                <c:pt idx="5">
                  <c:v>-135.77941785682685</c:v>
                </c:pt>
                <c:pt idx="6">
                  <c:v>-135.77941484492598</c:v>
                </c:pt>
                <c:pt idx="7">
                  <c:v>-135.77941105317666</c:v>
                </c:pt>
                <c:pt idx="8">
                  <c:v>-135.77940627966146</c:v>
                </c:pt>
                <c:pt idx="9">
                  <c:v>-135.77940027018462</c:v>
                </c:pt>
                <c:pt idx="10">
                  <c:v>-135.77939270473786</c:v>
                </c:pt>
                <c:pt idx="11">
                  <c:v>-135.77938318046176</c:v>
                </c:pt>
                <c:pt idx="12">
                  <c:v>-135.77937119019958</c:v>
                </c:pt>
                <c:pt idx="13">
                  <c:v>-135.77935609549772</c:v>
                </c:pt>
                <c:pt idx="14">
                  <c:v>-135.77933709262214</c:v>
                </c:pt>
                <c:pt idx="15">
                  <c:v>-135.77931316978083</c:v>
                </c:pt>
                <c:pt idx="16">
                  <c:v>-135.77928305328109</c:v>
                </c:pt>
                <c:pt idx="17">
                  <c:v>-135.77924513976259</c:v>
                </c:pt>
                <c:pt idx="18">
                  <c:v>-135.77919741091011</c:v>
                </c:pt>
                <c:pt idx="19">
                  <c:v>-135.77913732612629</c:v>
                </c:pt>
                <c:pt idx="20">
                  <c:v>-135.77906168748046</c:v>
                </c:pt>
                <c:pt idx="21">
                  <c:v>-135.77896646979653</c:v>
                </c:pt>
                <c:pt idx="22">
                  <c:v>-135.77884660691444</c:v>
                </c:pt>
                <c:pt idx="23">
                  <c:v>-135.77869572287469</c:v>
                </c:pt>
                <c:pt idx="24">
                  <c:v>-135.77850579392299</c:v>
                </c:pt>
                <c:pt idx="25">
                  <c:v>-135.77826672366709</c:v>
                </c:pt>
                <c:pt idx="26">
                  <c:v>-135.77796580928964</c:v>
                </c:pt>
                <c:pt idx="27">
                  <c:v>-135.77758707122575</c:v>
                </c:pt>
                <c:pt idx="28">
                  <c:v>-135.77711041192816</c:v>
                </c:pt>
                <c:pt idx="29">
                  <c:v>-135.77651056101067</c:v>
                </c:pt>
                <c:pt idx="30">
                  <c:v>-135.77575575389588</c:v>
                </c:pt>
                <c:pt idx="31">
                  <c:v>-135.7748060788133</c:v>
                </c:pt>
                <c:pt idx="32">
                  <c:v>-135.77361141234616</c:v>
                </c:pt>
                <c:pt idx="33">
                  <c:v>-135.77210884655179</c:v>
                </c:pt>
                <c:pt idx="34">
                  <c:v>-135.7702194910442</c:v>
                </c:pt>
                <c:pt idx="35">
                  <c:v>-135.76784451179046</c:v>
                </c:pt>
                <c:pt idx="36">
                  <c:v>-135.76486024590449</c:v>
                </c:pt>
                <c:pt idx="37">
                  <c:v>-135.76111221078216</c:v>
                </c:pt>
                <c:pt idx="38">
                  <c:v>-135.75640781075015</c:v>
                </c:pt>
                <c:pt idx="39">
                  <c:v>-135.75050754220479</c:v>
                </c:pt>
                <c:pt idx="40">
                  <c:v>-135.74311452057938</c:v>
                </c:pt>
                <c:pt idx="41">
                  <c:v>-135.73386221732153</c:v>
                </c:pt>
                <c:pt idx="42">
                  <c:v>-135.72230042888901</c:v>
                </c:pt>
                <c:pt idx="43">
                  <c:v>-135.70787973985531</c:v>
                </c:pt>
                <c:pt idx="44">
                  <c:v>-135.68993513760606</c:v>
                </c:pt>
                <c:pt idx="45">
                  <c:v>-135.66767004511468</c:v>
                </c:pt>
                <c:pt idx="46">
                  <c:v>-135.64014291829884</c:v>
                </c:pt>
                <c:pt idx="47">
                  <c:v>-135.60625973753096</c:v>
                </c:pt>
                <c:pt idx="48">
                  <c:v>-135.56477716867238</c:v>
                </c:pt>
                <c:pt idx="49">
                  <c:v>-135.51432268834711</c:v>
                </c:pt>
                <c:pt idx="50">
                  <c:v>-135.45343912149465</c:v>
                </c:pt>
                <c:pt idx="51">
                  <c:v>-135.38066104292699</c:v>
                </c:pt>
                <c:pt idx="52">
                  <c:v>-135.29462822024462</c:v>
                </c:pt>
                <c:pt idx="53">
                  <c:v>-135.19423548819219</c:v>
                </c:pt>
                <c:pt idx="54">
                  <c:v>-135.07880843957082</c:v>
                </c:pt>
                <c:pt idx="55">
                  <c:v>-134.94828096834425</c:v>
                </c:pt>
                <c:pt idx="56">
                  <c:v>-134.80333752945714</c:v>
                </c:pt>
                <c:pt idx="57">
                  <c:v>-134.6454763243982</c:v>
                </c:pt>
                <c:pt idx="58">
                  <c:v>-134.47695679409958</c:v>
                </c:pt>
                <c:pt idx="59">
                  <c:v>-134.30062009925462</c:v>
                </c:pt>
                <c:pt idx="60">
                  <c:v>-134.11961180344508</c:v>
                </c:pt>
                <c:pt idx="61">
                  <c:v>-133.93708096577191</c:v>
                </c:pt>
                <c:pt idx="62">
                  <c:v>-133.75596581671329</c:v>
                </c:pt>
                <c:pt idx="63">
                  <c:v>-133.57899594472141</c:v>
                </c:pt>
                <c:pt idx="64">
                  <c:v>-133.40904991439879</c:v>
                </c:pt>
                <c:pt idx="65">
                  <c:v>-133.25002084002551</c:v>
                </c:pt>
                <c:pt idx="66">
                  <c:v>-133.1083709619005</c:v>
                </c:pt>
                <c:pt idx="67">
                  <c:v>-132.9955741515929</c:v>
                </c:pt>
                <c:pt idx="68">
                  <c:v>-132.93153366036793</c:v>
                </c:pt>
                <c:pt idx="69">
                  <c:v>-132.94852538349724</c:v>
                </c:pt>
                <c:pt idx="70">
                  <c:v>-133.09380188967654</c:v>
                </c:pt>
                <c:pt idx="71">
                  <c:v>-133.42673922617939</c:v>
                </c:pt>
                <c:pt idx="72">
                  <c:v>-134.0056961753468</c:v>
                </c:pt>
                <c:pt idx="73">
                  <c:v>-134.86572299050363</c:v>
                </c:pt>
                <c:pt idx="74">
                  <c:v>-136.00032628531554</c:v>
                </c:pt>
                <c:pt idx="75">
                  <c:v>-137.36296944816374</c:v>
                </c:pt>
                <c:pt idx="76">
                  <c:v>-138.88714586931408</c:v>
                </c:pt>
                <c:pt idx="77">
                  <c:v>-140.50859327811185</c:v>
                </c:pt>
                <c:pt idx="78">
                  <c:v>-142.17766007199475</c:v>
                </c:pt>
                <c:pt idx="79">
                  <c:v>-143.86173377946875</c:v>
                </c:pt>
                <c:pt idx="80">
                  <c:v>-145.54265402365525</c:v>
                </c:pt>
                <c:pt idx="81">
                  <c:v>-147.21291531103893</c:v>
                </c:pt>
                <c:pt idx="82">
                  <c:v>-148.8722601938349</c:v>
                </c:pt>
                <c:pt idx="83">
                  <c:v>-150.52499032628282</c:v>
                </c:pt>
                <c:pt idx="84">
                  <c:v>-152.17789283662773</c:v>
                </c:pt>
                <c:pt idx="85">
                  <c:v>-153.83863676643551</c:v>
                </c:pt>
                <c:pt idx="86">
                  <c:v>-155.51455773875171</c:v>
                </c:pt>
                <c:pt idx="87">
                  <c:v>-157.21180369043174</c:v>
                </c:pt>
                <c:pt idx="88">
                  <c:v>-158.93483049222201</c:v>
                </c:pt>
                <c:pt idx="89">
                  <c:v>-160.68621965533865</c:v>
                </c:pt>
                <c:pt idx="90">
                  <c:v>-162.46676015302182</c:v>
                </c:pt>
                <c:pt idx="91">
                  <c:v>-164.27571194876066</c:v>
                </c:pt>
                <c:pt idx="92">
                  <c:v>-166.11116163668643</c:v>
                </c:pt>
                <c:pt idx="93">
                  <c:v>-167.97039177043592</c:v>
                </c:pt>
                <c:pt idx="94">
                  <c:v>-169.85020836944233</c:v>
                </c:pt>
                <c:pt idx="95">
                  <c:v>-171.74719672686302</c:v>
                </c:pt>
                <c:pt idx="96">
                  <c:v>-173.65789703464063</c:v>
                </c:pt>
                <c:pt idx="97">
                  <c:v>-175.57890537468739</c:v>
                </c:pt>
                <c:pt idx="98">
                  <c:v>-177.50691251970292</c:v>
                </c:pt>
                <c:pt idx="99">
                  <c:v>-179.43869476001169</c:v>
                </c:pt>
                <c:pt idx="100">
                  <c:v>-181.37106999892711</c:v>
                </c:pt>
                <c:pt idx="101">
                  <c:v>-183.30083052210477</c:v>
                </c:pt>
                <c:pt idx="102">
                  <c:v>-185.22466229570031</c:v>
                </c:pt>
                <c:pt idx="103">
                  <c:v>-187.1390599339247</c:v>
                </c:pt>
                <c:pt idx="104">
                  <c:v>-189.04024678238829</c:v>
                </c:pt>
                <c:pt idx="105">
                  <c:v>-190.9241108417402</c:v>
                </c:pt>
                <c:pt idx="106">
                  <c:v>-192.78616920272864</c:v>
                </c:pt>
                <c:pt idx="107">
                  <c:v>-194.62157558435266</c:v>
                </c:pt>
                <c:pt idx="108">
                  <c:v>-196.42518624535506</c:v>
                </c:pt>
                <c:pt idx="109">
                  <c:v>-198.19169727337288</c:v>
                </c:pt>
                <c:pt idx="110">
                  <c:v>-199.9158592482076</c:v>
                </c:pt>
                <c:pt idx="111">
                  <c:v>-201.59276251838793</c:v>
                </c:pt>
                <c:pt idx="112">
                  <c:v>-203.21816884796823</c:v>
                </c:pt>
                <c:pt idx="113">
                  <c:v>-204.78884700291471</c:v>
                </c:pt>
                <c:pt idx="114">
                  <c:v>-206.30285760023614</c:v>
                </c:pt>
                <c:pt idx="115">
                  <c:v>-207.7597330664633</c:v>
                </c:pt>
                <c:pt idx="116">
                  <c:v>-209.16051498701324</c:v>
                </c:pt>
                <c:pt idx="117">
                  <c:v>-210.50764001232261</c:v>
                </c:pt>
                <c:pt idx="118">
                  <c:v>-211.80469737242544</c:v>
                </c:pt>
                <c:pt idx="119">
                  <c:v>-213.05610496590657</c:v>
                </c:pt>
                <c:pt idx="120">
                  <c:v>-214.26675993455657</c:v>
                </c:pt>
              </c:numCache>
            </c:numRef>
          </c:yVal>
          <c:smooth val="1"/>
        </c:ser>
        <c:ser>
          <c:idx val="8"/>
          <c:order val="8"/>
          <c:tx>
            <c:v>DSM</c:v>
          </c:tx>
          <c:marker>
            <c:symbol val="none"/>
          </c:marker>
          <c:xVal>
            <c:numRef>
              <c:f>'5thOrderClosedLoopPhaseNoise'!$E$8:$E$128</c:f>
              <c:numCache>
                <c:formatCode>General</c:formatCode>
                <c:ptCount val="121"/>
                <c:pt idx="0">
                  <c:v>0.1</c:v>
                </c:pt>
                <c:pt idx="1">
                  <c:v>0.1122018454301966</c:v>
                </c:pt>
                <c:pt idx="2">
                  <c:v>0.12589254117941703</c:v>
                </c:pt>
                <c:pt idx="3">
                  <c:v>0.14125375446227575</c:v>
                </c:pt>
                <c:pt idx="4">
                  <c:v>0.15848931924611176</c:v>
                </c:pt>
                <c:pt idx="5">
                  <c:v>0.17782794100389276</c:v>
                </c:pt>
                <c:pt idx="6">
                  <c:v>0.19952623149688853</c:v>
                </c:pt>
                <c:pt idx="7">
                  <c:v>0.22387211385683461</c:v>
                </c:pt>
                <c:pt idx="8">
                  <c:v>0.25118864315095879</c:v>
                </c:pt>
                <c:pt idx="9">
                  <c:v>0.28183829312644626</c:v>
                </c:pt>
                <c:pt idx="10">
                  <c:v>0.316227766016839</c:v>
                </c:pt>
                <c:pt idx="11">
                  <c:v>0.35481338923357669</c:v>
                </c:pt>
                <c:pt idx="12">
                  <c:v>0.39810717055349865</c:v>
                </c:pt>
                <c:pt idx="13">
                  <c:v>0.44668359215096465</c:v>
                </c:pt>
                <c:pt idx="14">
                  <c:v>0.50118723362727402</c:v>
                </c:pt>
                <c:pt idx="15">
                  <c:v>0.56234132519035118</c:v>
                </c:pt>
                <c:pt idx="16">
                  <c:v>0.63095734448019558</c:v>
                </c:pt>
                <c:pt idx="17">
                  <c:v>0.70794578438414069</c:v>
                </c:pt>
                <c:pt idx="18">
                  <c:v>0.79432823472428471</c:v>
                </c:pt>
                <c:pt idx="19">
                  <c:v>0.89125093813374923</c:v>
                </c:pt>
                <c:pt idx="20">
                  <c:v>1</c:v>
                </c:pt>
                <c:pt idx="21">
                  <c:v>1.122018454301966</c:v>
                </c:pt>
                <c:pt idx="22">
                  <c:v>1.2589254117941702</c:v>
                </c:pt>
                <c:pt idx="23">
                  <c:v>1.4125375446227577</c:v>
                </c:pt>
                <c:pt idx="24">
                  <c:v>1.5848931924611176</c:v>
                </c:pt>
                <c:pt idx="25">
                  <c:v>1.7782794100389276</c:v>
                </c:pt>
                <c:pt idx="26">
                  <c:v>1.9952623149688853</c:v>
                </c:pt>
                <c:pt idx="27">
                  <c:v>2.2387211385683456</c:v>
                </c:pt>
                <c:pt idx="28">
                  <c:v>2.5118864315095877</c:v>
                </c:pt>
                <c:pt idx="29">
                  <c:v>2.818382931264463</c:v>
                </c:pt>
                <c:pt idx="30">
                  <c:v>3.1622776601683897</c:v>
                </c:pt>
                <c:pt idx="31">
                  <c:v>3.548133892335767</c:v>
                </c:pt>
                <c:pt idx="32">
                  <c:v>3.9810717055349865</c:v>
                </c:pt>
                <c:pt idx="33">
                  <c:v>4.4668359215096469</c:v>
                </c:pt>
                <c:pt idx="34">
                  <c:v>5.0118723362727406</c:v>
                </c:pt>
                <c:pt idx="35">
                  <c:v>5.6234132519035116</c:v>
                </c:pt>
                <c:pt idx="36">
                  <c:v>6.3095734448019556</c:v>
                </c:pt>
                <c:pt idx="37">
                  <c:v>7.0794578438414062</c:v>
                </c:pt>
                <c:pt idx="38">
                  <c:v>7.9432823472428469</c:v>
                </c:pt>
                <c:pt idx="39">
                  <c:v>8.9125093813374914</c:v>
                </c:pt>
                <c:pt idx="40">
                  <c:v>10</c:v>
                </c:pt>
                <c:pt idx="41">
                  <c:v>11.220184543019659</c:v>
                </c:pt>
                <c:pt idx="42">
                  <c:v>12.589254117941703</c:v>
                </c:pt>
                <c:pt idx="43">
                  <c:v>14.125375446227576</c:v>
                </c:pt>
                <c:pt idx="44">
                  <c:v>15.848931924611176</c:v>
                </c:pt>
                <c:pt idx="45">
                  <c:v>17.782794100389278</c:v>
                </c:pt>
                <c:pt idx="46">
                  <c:v>19.952623149688854</c:v>
                </c:pt>
                <c:pt idx="47">
                  <c:v>22.387211385683457</c:v>
                </c:pt>
                <c:pt idx="48">
                  <c:v>25.118864315095877</c:v>
                </c:pt>
                <c:pt idx="49">
                  <c:v>28.183829312644626</c:v>
                </c:pt>
                <c:pt idx="50">
                  <c:v>31.622776601683899</c:v>
                </c:pt>
                <c:pt idx="51">
                  <c:v>35.481338923357669</c:v>
                </c:pt>
                <c:pt idx="52">
                  <c:v>39.810717055349862</c:v>
                </c:pt>
                <c:pt idx="53">
                  <c:v>44.668359215096466</c:v>
                </c:pt>
                <c:pt idx="54">
                  <c:v>50.118723362727401</c:v>
                </c:pt>
                <c:pt idx="55">
                  <c:v>56.234132519035121</c:v>
                </c:pt>
                <c:pt idx="56">
                  <c:v>63.095734448019563</c:v>
                </c:pt>
                <c:pt idx="57">
                  <c:v>70.794578438414078</c:v>
                </c:pt>
                <c:pt idx="58">
                  <c:v>79.432823472428467</c:v>
                </c:pt>
                <c:pt idx="59">
                  <c:v>89.125093813374917</c:v>
                </c:pt>
                <c:pt idx="60">
                  <c:v>100</c:v>
                </c:pt>
                <c:pt idx="61">
                  <c:v>112.20184543019658</c:v>
                </c:pt>
                <c:pt idx="62">
                  <c:v>125.89254117941702</c:v>
                </c:pt>
                <c:pt idx="63">
                  <c:v>141.25375446227577</c:v>
                </c:pt>
                <c:pt idx="64">
                  <c:v>158.48931924611176</c:v>
                </c:pt>
                <c:pt idx="65">
                  <c:v>177.82794100389276</c:v>
                </c:pt>
                <c:pt idx="66">
                  <c:v>199.52623149688853</c:v>
                </c:pt>
                <c:pt idx="67">
                  <c:v>223.8721138568346</c:v>
                </c:pt>
                <c:pt idx="68">
                  <c:v>251.1886431509588</c:v>
                </c:pt>
                <c:pt idx="69">
                  <c:v>281.83829312644627</c:v>
                </c:pt>
                <c:pt idx="70">
                  <c:v>316.22776601683893</c:v>
                </c:pt>
                <c:pt idx="71">
                  <c:v>354.81338923357669</c:v>
                </c:pt>
                <c:pt idx="72">
                  <c:v>398.10717055349869</c:v>
                </c:pt>
                <c:pt idx="73">
                  <c:v>446.68359215096467</c:v>
                </c:pt>
                <c:pt idx="74">
                  <c:v>501.18723362727405</c:v>
                </c:pt>
                <c:pt idx="75">
                  <c:v>562.3413251903512</c:v>
                </c:pt>
                <c:pt idx="76">
                  <c:v>630.9573444801955</c:v>
                </c:pt>
                <c:pt idx="77">
                  <c:v>707.94578438414078</c:v>
                </c:pt>
                <c:pt idx="78">
                  <c:v>794.3282347242847</c:v>
                </c:pt>
                <c:pt idx="79">
                  <c:v>891.25093813374917</c:v>
                </c:pt>
                <c:pt idx="80">
                  <c:v>1000</c:v>
                </c:pt>
                <c:pt idx="81">
                  <c:v>1122.0184543019659</c:v>
                </c:pt>
                <c:pt idx="82">
                  <c:v>1258.9254117941703</c:v>
                </c:pt>
                <c:pt idx="83">
                  <c:v>1412.5375446227577</c:v>
                </c:pt>
                <c:pt idx="84">
                  <c:v>1584.8931924611177</c:v>
                </c:pt>
                <c:pt idx="85">
                  <c:v>1778.2794100389276</c:v>
                </c:pt>
                <c:pt idx="86">
                  <c:v>1995.2623149688852</c:v>
                </c:pt>
                <c:pt idx="87">
                  <c:v>2238.7211385683459</c:v>
                </c:pt>
                <c:pt idx="88">
                  <c:v>2511.886431509588</c:v>
                </c:pt>
                <c:pt idx="89">
                  <c:v>2818.382931264463</c:v>
                </c:pt>
                <c:pt idx="90">
                  <c:v>3162.277660168389</c:v>
                </c:pt>
                <c:pt idx="91">
                  <c:v>3548.1338923357671</c:v>
                </c:pt>
                <c:pt idx="92">
                  <c:v>3981.0717055349869</c:v>
                </c:pt>
                <c:pt idx="93">
                  <c:v>4466.8359215096471</c:v>
                </c:pt>
                <c:pt idx="94">
                  <c:v>5011.8723362727405</c:v>
                </c:pt>
                <c:pt idx="95">
                  <c:v>5623.413251903512</c:v>
                </c:pt>
                <c:pt idx="96">
                  <c:v>6309.5734448019548</c:v>
                </c:pt>
                <c:pt idx="97">
                  <c:v>7079.4578438414082</c:v>
                </c:pt>
                <c:pt idx="98">
                  <c:v>7943.2823472428472</c:v>
                </c:pt>
                <c:pt idx="99">
                  <c:v>8912.5093813374915</c:v>
                </c:pt>
                <c:pt idx="100">
                  <c:v>10000</c:v>
                </c:pt>
                <c:pt idx="101">
                  <c:v>11220.184543019701</c:v>
                </c:pt>
                <c:pt idx="102">
                  <c:v>12589.2541179417</c:v>
                </c:pt>
                <c:pt idx="103">
                  <c:v>14125.375446227599</c:v>
                </c:pt>
                <c:pt idx="104">
                  <c:v>15848.931924611201</c:v>
                </c:pt>
                <c:pt idx="105">
                  <c:v>17782.794100389299</c:v>
                </c:pt>
                <c:pt idx="106">
                  <c:v>19952.623149688901</c:v>
                </c:pt>
                <c:pt idx="107">
                  <c:v>22387.211385683499</c:v>
                </c:pt>
                <c:pt idx="108">
                  <c:v>25118.8643150959</c:v>
                </c:pt>
                <c:pt idx="109">
                  <c:v>28183.829312644601</c:v>
                </c:pt>
                <c:pt idx="110">
                  <c:v>31622.776601683901</c:v>
                </c:pt>
                <c:pt idx="111">
                  <c:v>35481.338923357704</c:v>
                </c:pt>
                <c:pt idx="112">
                  <c:v>39810.717055349902</c:v>
                </c:pt>
                <c:pt idx="113">
                  <c:v>44668.359215096498</c:v>
                </c:pt>
                <c:pt idx="114">
                  <c:v>50118.723362727404</c:v>
                </c:pt>
                <c:pt idx="115">
                  <c:v>56234.132519035098</c:v>
                </c:pt>
                <c:pt idx="116">
                  <c:v>63095.734448019502</c:v>
                </c:pt>
                <c:pt idx="117">
                  <c:v>70794.578438414101</c:v>
                </c:pt>
                <c:pt idx="118">
                  <c:v>79432.823472428499</c:v>
                </c:pt>
                <c:pt idx="119">
                  <c:v>89125.0938133749</c:v>
                </c:pt>
                <c:pt idx="120">
                  <c:v>100000</c:v>
                </c:pt>
              </c:numCache>
            </c:numRef>
          </c:xVal>
          <c:yVal>
            <c:numRef>
              <c:f>'5thOrderClosedLoopPhaseNoise'!$AG$8:$AG$128</c:f>
              <c:numCache>
                <c:formatCode>0.00</c:formatCode>
                <c:ptCount val="121"/>
                <c:pt idx="0">
                  <c:v>-267.8468707737955</c:v>
                </c:pt>
                <c:pt idx="1">
                  <c:v>-265.84784614188487</c:v>
                </c:pt>
                <c:pt idx="2">
                  <c:v>-263.84846106594728</c:v>
                </c:pt>
                <c:pt idx="3">
                  <c:v>-261.84884834073489</c:v>
                </c:pt>
                <c:pt idx="4">
                  <c:v>-259.84909175444557</c:v>
                </c:pt>
                <c:pt idx="5">
                  <c:v>-257.84924413912921</c:v>
                </c:pt>
                <c:pt idx="6">
                  <c:v>-255.84933877181498</c:v>
                </c:pt>
                <c:pt idx="7">
                  <c:v>-253.84939657061489</c:v>
                </c:pt>
                <c:pt idx="8">
                  <c:v>-251.84943063320304</c:v>
                </c:pt>
                <c:pt idx="9">
                  <c:v>-249.84944909591809</c:v>
                </c:pt>
                <c:pt idx="10">
                  <c:v>-247.84945693128478</c:v>
                </c:pt>
                <c:pt idx="11">
                  <c:v>-245.84945707373308</c:v>
                </c:pt>
                <c:pt idx="12">
                  <c:v>-243.84945111912731</c:v>
                </c:pt>
                <c:pt idx="13">
                  <c:v>-241.84943975255322</c:v>
                </c:pt>
                <c:pt idx="14">
                  <c:v>-239.84942300111339</c:v>
                </c:pt>
                <c:pt idx="15">
                  <c:v>-237.84940037187252</c:v>
                </c:pt>
                <c:pt idx="16">
                  <c:v>-235.84937091175999</c:v>
                </c:pt>
                <c:pt idx="17">
                  <c:v>-233.84933321121281</c:v>
                </c:pt>
                <c:pt idx="18">
                  <c:v>-231.849285363495</c:v>
                </c:pt>
                <c:pt idx="19">
                  <c:v>-229.84922488494817</c:v>
                </c:pt>
                <c:pt idx="20">
                  <c:v>-227.84914859662962</c:v>
                </c:pt>
                <c:pt idx="21">
                  <c:v>-225.84905246403596</c:v>
                </c:pt>
                <c:pt idx="22">
                  <c:v>-223.84893138832226</c:v>
                </c:pt>
                <c:pt idx="23">
                  <c:v>-221.84877893920785</c:v>
                </c:pt>
                <c:pt idx="24">
                  <c:v>-219.84858701630407</c:v>
                </c:pt>
                <c:pt idx="25">
                  <c:v>-217.84834542163875</c:v>
                </c:pt>
                <c:pt idx="26">
                  <c:v>-215.84804132145314</c:v>
                </c:pt>
                <c:pt idx="27">
                  <c:v>-213.84765856965953</c:v>
                </c:pt>
                <c:pt idx="28">
                  <c:v>-211.84717685841389</c:v>
                </c:pt>
                <c:pt idx="29">
                  <c:v>-209.84657065280246</c:v>
                </c:pt>
                <c:pt idx="30">
                  <c:v>-207.84580785637078</c:v>
                </c:pt>
                <c:pt idx="31">
                  <c:v>-205.84484814184941</c:v>
                </c:pt>
                <c:pt idx="32">
                  <c:v>-203.84364086670644</c:v>
                </c:pt>
                <c:pt idx="33">
                  <c:v>-201.84212247593823</c:v>
                </c:pt>
                <c:pt idx="34">
                  <c:v>-199.84021327488972</c:v>
                </c:pt>
                <c:pt idx="35">
                  <c:v>-197.8378134333843</c:v>
                </c:pt>
                <c:pt idx="36">
                  <c:v>-195.83479806029681</c:v>
                </c:pt>
                <c:pt idx="37">
                  <c:v>-193.83101116740306</c:v>
                </c:pt>
                <c:pt idx="38">
                  <c:v>-191.82625832734882</c:v>
                </c:pt>
                <c:pt idx="39">
                  <c:v>-189.82029783039837</c:v>
                </c:pt>
                <c:pt idx="40">
                  <c:v>-187.81283017031782</c:v>
                </c:pt>
                <c:pt idx="41">
                  <c:v>-185.80348575989348</c:v>
                </c:pt>
                <c:pt idx="42">
                  <c:v>-183.79181091861753</c:v>
                </c:pt>
                <c:pt idx="43">
                  <c:v>-181.77725242744475</c:v>
                </c:pt>
                <c:pt idx="44">
                  <c:v>-179.7591413587129</c:v>
                </c:pt>
                <c:pt idx="45">
                  <c:v>-177.73667752300344</c:v>
                </c:pt>
                <c:pt idx="46">
                  <c:v>-175.70891678713008</c:v>
                </c:pt>
                <c:pt idx="47">
                  <c:v>-173.67476473978871</c:v>
                </c:pt>
                <c:pt idx="48">
                  <c:v>-171.63298166916104</c:v>
                </c:pt>
                <c:pt idx="49">
                  <c:v>-169.58220537089522</c:v>
                </c:pt>
                <c:pt idx="50">
                  <c:v>-167.52099946826098</c:v>
                </c:pt>
                <c:pt idx="51">
                  <c:v>-165.44793489021424</c:v>
                </c:pt>
                <c:pt idx="52">
                  <c:v>-163.36170976267471</c:v>
                </c:pt>
                <c:pt idx="53">
                  <c:v>-161.26130697612081</c:v>
                </c:pt>
                <c:pt idx="54">
                  <c:v>-159.14617842024907</c:v>
                </c:pt>
                <c:pt idx="55">
                  <c:v>-157.01643128616766</c:v>
                </c:pt>
                <c:pt idx="56">
                  <c:v>-154.87297860128268</c:v>
                </c:pt>
                <c:pt idx="57">
                  <c:v>-152.71760977532088</c:v>
                </c:pt>
                <c:pt idx="58">
                  <c:v>-150.5529447668417</c:v>
                </c:pt>
                <c:pt idx="59">
                  <c:v>-148.3822616850961</c:v>
                </c:pt>
                <c:pt idx="60">
                  <c:v>-146.20922900257722</c:v>
                </c:pt>
                <c:pt idx="61">
                  <c:v>-144.03761892624891</c:v>
                </c:pt>
                <c:pt idx="62">
                  <c:v>-141.87111420521046</c:v>
                </c:pt>
                <c:pt idx="63">
                  <c:v>-139.71333966812355</c:v>
                </c:pt>
                <c:pt idx="64">
                  <c:v>-137.56825784555713</c:v>
                </c:pt>
                <c:pt idx="65">
                  <c:v>-135.44108078383954</c:v>
                </c:pt>
                <c:pt idx="66">
                  <c:v>-133.33987797712976</c:v>
                </c:pt>
                <c:pt idx="67">
                  <c:v>-131.27807751179324</c:v>
                </c:pt>
                <c:pt idx="68">
                  <c:v>-129.27794490856783</c:v>
                </c:pt>
                <c:pt idx="69">
                  <c:v>-127.37458555623854</c:v>
                </c:pt>
                <c:pt idx="70">
                  <c:v>-125.61859935711333</c:v>
                </c:pt>
                <c:pt idx="71">
                  <c:v>-124.07326009151853</c:v>
                </c:pt>
                <c:pt idx="72">
                  <c:v>-122.80137658802266</c:v>
                </c:pt>
                <c:pt idx="73">
                  <c:v>-121.84295772535737</c:v>
                </c:pt>
                <c:pt idx="74">
                  <c:v>-121.19687262142668</c:v>
                </c:pt>
                <c:pt idx="75">
                  <c:v>-120.8221736611178</c:v>
                </c:pt>
                <c:pt idx="76">
                  <c:v>-120.65791709608547</c:v>
                </c:pt>
                <c:pt idx="77">
                  <c:v>-120.64506212491074</c:v>
                </c:pt>
                <c:pt idx="78">
                  <c:v>-120.73849108918503</c:v>
                </c:pt>
                <c:pt idx="79">
                  <c:v>-120.9091107083858</c:v>
                </c:pt>
                <c:pt idx="80">
                  <c:v>-121.14101629477192</c:v>
                </c:pt>
                <c:pt idx="81">
                  <c:v>-121.42757926924872</c:v>
                </c:pt>
                <c:pt idx="82">
                  <c:v>-121.76809306492919</c:v>
                </c:pt>
                <c:pt idx="83">
                  <c:v>-122.16530803793108</c:v>
                </c:pt>
                <c:pt idx="84">
                  <c:v>-122.62372297130797</c:v>
                </c:pt>
                <c:pt idx="85">
                  <c:v>-123.14843327872693</c:v>
                </c:pt>
                <c:pt idx="86">
                  <c:v>-123.74438842465155</c:v>
                </c:pt>
                <c:pt idx="87">
                  <c:v>-124.41596892042659</c:v>
                </c:pt>
                <c:pt idx="88">
                  <c:v>-125.16682283994591</c:v>
                </c:pt>
                <c:pt idx="89">
                  <c:v>-125.99990368631981</c:v>
                </c:pt>
                <c:pt idx="90">
                  <c:v>-126.91763969386585</c:v>
                </c:pt>
                <c:pt idx="91">
                  <c:v>-127.92215576461707</c:v>
                </c:pt>
                <c:pt idx="92">
                  <c:v>-129.01547486007826</c:v>
                </c:pt>
                <c:pt idx="93">
                  <c:v>-130.19964910791322</c:v>
                </c:pt>
                <c:pt idx="94">
                  <c:v>-131.47680761737911</c:v>
                </c:pt>
                <c:pt idx="95">
                  <c:v>-132.84914857348656</c:v>
                </c:pt>
                <c:pt idx="96">
                  <c:v>-134.3189366580786</c:v>
                </c:pt>
                <c:pt idx="97">
                  <c:v>-135.88858417297325</c:v>
                </c:pt>
                <c:pt idx="98">
                  <c:v>-137.56089159399588</c:v>
                </c:pt>
                <c:pt idx="99">
                  <c:v>-139.33950450760688</c:v>
                </c:pt>
                <c:pt idx="100">
                  <c:v>-141.22962017502996</c:v>
                </c:pt>
                <c:pt idx="101">
                  <c:v>-143.23896315595437</c:v>
                </c:pt>
                <c:pt idx="102">
                  <c:v>-145.37905897834597</c:v>
                </c:pt>
                <c:pt idx="103">
                  <c:v>-147.66687773170935</c:v>
                </c:pt>
                <c:pt idx="104">
                  <c:v>-150.12700599900433</c:v>
                </c:pt>
                <c:pt idx="105">
                  <c:v>-152.794657828754</c:v>
                </c:pt>
                <c:pt idx="106">
                  <c:v>-155.72011052176128</c:v>
                </c:pt>
                <c:pt idx="107">
                  <c:v>-158.97569340108657</c:v>
                </c:pt>
                <c:pt idx="108">
                  <c:v>-162.66764437321572</c:v>
                </c:pt>
                <c:pt idx="109">
                  <c:v>-166.95805528376582</c:v>
                </c:pt>
                <c:pt idx="110">
                  <c:v>-172.11027441221142</c:v>
                </c:pt>
                <c:pt idx="111">
                  <c:v>-178.59850568670151</c:v>
                </c:pt>
                <c:pt idx="112">
                  <c:v>-187.4428365581872</c:v>
                </c:pt>
                <c:pt idx="113">
                  <c:v>-201.79270860715732</c:v>
                </c:pt>
                <c:pt idx="114">
                  <c:v>-271.53419533273336</c:v>
                </c:pt>
                <c:pt idx="115">
                  <c:v>-207.16174141808767</c:v>
                </c:pt>
                <c:pt idx="116">
                  <c:v>-199.81529323569896</c:v>
                </c:pt>
                <c:pt idx="117">
                  <c:v>-199.02505390636401</c:v>
                </c:pt>
                <c:pt idx="118">
                  <c:v>-203.08634465295671</c:v>
                </c:pt>
                <c:pt idx="119">
                  <c:v>-214.38670102830679</c:v>
                </c:pt>
                <c:pt idx="120">
                  <c:v>-300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743680"/>
        <c:axId val="126745600"/>
      </c:scatterChart>
      <c:valAx>
        <c:axId val="126743680"/>
        <c:scaling>
          <c:logBase val="10"/>
          <c:orientation val="minMax"/>
          <c:min val="0.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Frequency Offset (kHz)</a:t>
                </a:r>
              </a:p>
            </c:rich>
          </c:tx>
          <c:layout>
            <c:manualLayout>
              <c:xMode val="edge"/>
              <c:yMode val="edge"/>
              <c:x val="0.41845293569431502"/>
              <c:y val="0.86918344640882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745600"/>
        <c:crossesAt val="-160"/>
        <c:crossBetween val="midCat"/>
      </c:valAx>
      <c:valAx>
        <c:axId val="126745600"/>
        <c:scaling>
          <c:orientation val="minMax"/>
          <c:max val="-80"/>
          <c:min val="-1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Phase Noise (dBc/Hz)</a:t>
                </a:r>
              </a:p>
            </c:rich>
          </c:tx>
          <c:layout>
            <c:manualLayout>
              <c:xMode val="edge"/>
              <c:yMode val="edge"/>
              <c:x val="1.4911463187325256E-2"/>
              <c:y val="0.3245286980636853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6743680"/>
        <c:crossesAt val="0.1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9508947636063264E-2"/>
          <c:y val="0.94088157517461823"/>
          <c:w val="0.89999997076350235"/>
          <c:h val="3.109189785557240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3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3.jpe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3.jpe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228600</xdr:colOff>
      <xdr:row>10</xdr:row>
      <xdr:rowOff>0</xdr:rowOff>
    </xdr:from>
    <xdr:ext cx="0" cy="152400"/>
    <xdr:sp macro="" textlink="">
      <xdr:nvSpPr>
        <xdr:cNvPr id="2" name="Rectangle 367"/>
        <xdr:cNvSpPr>
          <a:spLocks noChangeArrowheads="1"/>
        </xdr:cNvSpPr>
      </xdr:nvSpPr>
      <xdr:spPr bwMode="auto">
        <a:xfrm>
          <a:off x="3276600" y="173355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371475</xdr:colOff>
      <xdr:row>15</xdr:row>
      <xdr:rowOff>47625</xdr:rowOff>
    </xdr:from>
    <xdr:ext cx="0" cy="152400"/>
    <xdr:sp macro="" textlink="">
      <xdr:nvSpPr>
        <xdr:cNvPr id="3" name="Rectangle 372"/>
        <xdr:cNvSpPr>
          <a:spLocks noChangeArrowheads="1"/>
        </xdr:cNvSpPr>
      </xdr:nvSpPr>
      <xdr:spPr bwMode="auto">
        <a:xfrm>
          <a:off x="4638675" y="25908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0</xdr:row>
      <xdr:rowOff>0</xdr:rowOff>
    </xdr:from>
    <xdr:ext cx="2124075" cy="638175"/>
    <xdr:pic>
      <xdr:nvPicPr>
        <xdr:cNvPr id="4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240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609600</xdr:colOff>
          <xdr:row>5</xdr:row>
          <xdr:rowOff>0</xdr:rowOff>
        </xdr:from>
        <xdr:to>
          <xdr:col>15</xdr:col>
          <xdr:colOff>609600</xdr:colOff>
          <xdr:row>19</xdr:row>
          <xdr:rowOff>57150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52</xdr:row>
      <xdr:rowOff>189005</xdr:rowOff>
    </xdr:from>
    <xdr:to>
      <xdr:col>15</xdr:col>
      <xdr:colOff>273844</xdr:colOff>
      <xdr:row>104</xdr:row>
      <xdr:rowOff>189006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260350</xdr:colOff>
      <xdr:row>0</xdr:row>
      <xdr:rowOff>1</xdr:rowOff>
    </xdr:from>
    <xdr:to>
      <xdr:col>1</xdr:col>
      <xdr:colOff>628650</xdr:colOff>
      <xdr:row>1</xdr:row>
      <xdr:rowOff>184876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350" y="1"/>
          <a:ext cx="1244600" cy="37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880361</xdr:colOff>
      <xdr:row>4</xdr:row>
      <xdr:rowOff>11206</xdr:rowOff>
    </xdr:from>
    <xdr:to>
      <xdr:col>15</xdr:col>
      <xdr:colOff>261937</xdr:colOff>
      <xdr:row>45</xdr:row>
      <xdr:rowOff>0</xdr:rowOff>
    </xdr:to>
    <xdr:graphicFrame macro="">
      <xdr:nvGraphicFramePr>
        <xdr:cNvPr id="5" name="Chart 2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917200</xdr:colOff>
      <xdr:row>58</xdr:row>
      <xdr:rowOff>9525</xdr:rowOff>
    </xdr:from>
    <xdr:to>
      <xdr:col>12</xdr:col>
      <xdr:colOff>851646</xdr:colOff>
      <xdr:row>113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260350</xdr:colOff>
      <xdr:row>0</xdr:row>
      <xdr:rowOff>0</xdr:rowOff>
    </xdr:from>
    <xdr:to>
      <xdr:col>1</xdr:col>
      <xdr:colOff>628650</xdr:colOff>
      <xdr:row>1</xdr:row>
      <xdr:rowOff>184875</xdr:rowOff>
    </xdr:to>
    <xdr:pic>
      <xdr:nvPicPr>
        <xdr:cNvPr id="4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350" y="0"/>
          <a:ext cx="1244600" cy="37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442633</xdr:colOff>
      <xdr:row>4</xdr:row>
      <xdr:rowOff>185163</xdr:rowOff>
    </xdr:from>
    <xdr:to>
      <xdr:col>21</xdr:col>
      <xdr:colOff>117661</xdr:colOff>
      <xdr:row>49</xdr:row>
      <xdr:rowOff>0</xdr:rowOff>
    </xdr:to>
    <xdr:graphicFrame macro="">
      <xdr:nvGraphicFramePr>
        <xdr:cNvPr id="11" name="Chart 2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76200</xdr:colOff>
      <xdr:row>5</xdr:row>
      <xdr:rowOff>19050</xdr:rowOff>
    </xdr:from>
    <xdr:to>
      <xdr:col>52</xdr:col>
      <xdr:colOff>200025</xdr:colOff>
      <xdr:row>47</xdr:row>
      <xdr:rowOff>114300</xdr:rowOff>
    </xdr:to>
    <xdr:graphicFrame macro="">
      <xdr:nvGraphicFramePr>
        <xdr:cNvPr id="2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76200</xdr:colOff>
      <xdr:row>5</xdr:row>
      <xdr:rowOff>19050</xdr:rowOff>
    </xdr:from>
    <xdr:to>
      <xdr:col>52</xdr:col>
      <xdr:colOff>200025</xdr:colOff>
      <xdr:row>47</xdr:row>
      <xdr:rowOff>114300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0</xdr:rowOff>
        </xdr:from>
        <xdr:to>
          <xdr:col>9</xdr:col>
          <xdr:colOff>581025</xdr:colOff>
          <xdr:row>19</xdr:row>
          <xdr:rowOff>9525</xdr:rowOff>
        </xdr:to>
        <xdr:sp macro="" textlink="">
          <xdr:nvSpPr>
            <xdr:cNvPr id="11267" name="Object 3" hidden="1">
              <a:extLst>
                <a:ext uri="{63B3BB69-23CF-44E3-9099-C40C66FF867C}">
                  <a14:compatExt spid="_x0000_s112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0</xdr:rowOff>
        </xdr:from>
        <xdr:to>
          <xdr:col>9</xdr:col>
          <xdr:colOff>600075</xdr:colOff>
          <xdr:row>35</xdr:row>
          <xdr:rowOff>9525</xdr:rowOff>
        </xdr:to>
        <xdr:sp macro="" textlink="">
          <xdr:nvSpPr>
            <xdr:cNvPr id="11268" name="Object 4" hidden="1">
              <a:extLst>
                <a:ext uri="{63B3BB69-23CF-44E3-9099-C40C66FF867C}">
                  <a14:compatExt spid="_x0000_s112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image" Target="../media/image5.emf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3.bin"/><Relationship Id="rId5" Type="http://schemas.openxmlformats.org/officeDocument/2006/relationships/image" Target="../media/image4.emf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1:P35"/>
  <sheetViews>
    <sheetView zoomScaleNormal="100" workbookViewId="0">
      <selection activeCell="E1" sqref="E1:P2"/>
    </sheetView>
  </sheetViews>
  <sheetFormatPr defaultRowHeight="15" x14ac:dyDescent="0.25"/>
  <cols>
    <col min="5" max="5" width="10" customWidth="1"/>
  </cols>
  <sheetData>
    <row r="1" spans="5:16" s="38" customFormat="1" x14ac:dyDescent="0.2">
      <c r="E1" s="118" t="s">
        <v>89</v>
      </c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</row>
    <row r="2" spans="5:16" s="38" customFormat="1" x14ac:dyDescent="0.2"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</row>
    <row r="3" spans="5:16" s="38" customFormat="1" x14ac:dyDescent="0.2"/>
    <row r="4" spans="5:16" s="38" customFormat="1" ht="15.75" x14ac:dyDescent="0.25">
      <c r="E4" s="39"/>
    </row>
    <row r="29" spans="3:9" x14ac:dyDescent="0.25">
      <c r="C29" s="22"/>
      <c r="D29" s="22"/>
      <c r="E29" s="22"/>
      <c r="F29" s="22"/>
      <c r="G29" s="22"/>
      <c r="H29" s="22"/>
      <c r="I29" s="22"/>
    </row>
    <row r="30" spans="3:9" x14ac:dyDescent="0.25">
      <c r="C30" s="22"/>
      <c r="D30" s="36"/>
      <c r="E30" s="37"/>
      <c r="F30" s="37"/>
      <c r="G30" s="37"/>
      <c r="H30" s="37"/>
      <c r="I30" s="22"/>
    </row>
    <row r="31" spans="3:9" x14ac:dyDescent="0.25">
      <c r="C31" s="22"/>
      <c r="D31" s="36"/>
      <c r="E31" s="37"/>
      <c r="F31" s="37"/>
      <c r="G31" s="37"/>
      <c r="H31" s="37"/>
      <c r="I31" s="22"/>
    </row>
    <row r="32" spans="3:9" x14ac:dyDescent="0.25">
      <c r="C32" s="22"/>
      <c r="D32" s="36"/>
      <c r="E32" s="37"/>
      <c r="F32" s="37"/>
      <c r="G32" s="37"/>
      <c r="H32" s="37"/>
      <c r="I32" s="22"/>
    </row>
    <row r="35" spans="4:4" x14ac:dyDescent="0.25">
      <c r="D35" s="36"/>
    </row>
  </sheetData>
  <mergeCells count="1">
    <mergeCell ref="E1:P2"/>
  </mergeCells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Visio.Drawing.11" shapeId="6146" r:id="rId4">
          <objectPr defaultSize="0" autoPict="0" r:id="rId5">
            <anchor moveWithCells="1" sizeWithCells="1">
              <from>
                <xdr:col>3</xdr:col>
                <xdr:colOff>609600</xdr:colOff>
                <xdr:row>5</xdr:row>
                <xdr:rowOff>0</xdr:rowOff>
              </from>
              <to>
                <xdr:col>15</xdr:col>
                <xdr:colOff>609600</xdr:colOff>
                <xdr:row>19</xdr:row>
                <xdr:rowOff>57150</xdr:rowOff>
              </to>
            </anchor>
          </objectPr>
        </oleObject>
      </mc:Choice>
      <mc:Fallback>
        <oleObject progId="Visio.Drawing.11" shapeId="6146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8"/>
  <sheetViews>
    <sheetView zoomScale="80" zoomScaleNormal="80" workbookViewId="0">
      <selection activeCell="C1" sqref="C1"/>
    </sheetView>
  </sheetViews>
  <sheetFormatPr defaultRowHeight="15" x14ac:dyDescent="0.25"/>
  <cols>
    <col min="1" max="1" width="13.140625" customWidth="1"/>
    <col min="2" max="11" width="13.28515625" customWidth="1"/>
  </cols>
  <sheetData>
    <row r="1" spans="1:8" x14ac:dyDescent="0.25">
      <c r="C1" s="20" t="s">
        <v>180</v>
      </c>
    </row>
    <row r="2" spans="1:8" x14ac:dyDescent="0.25">
      <c r="C2" s="20" t="s">
        <v>0</v>
      </c>
    </row>
    <row r="3" spans="1:8" x14ac:dyDescent="0.25">
      <c r="C3" s="1" t="s">
        <v>152</v>
      </c>
    </row>
    <row r="4" spans="1:8" ht="15.75" thickBot="1" x14ac:dyDescent="0.3">
      <c r="A4" s="32"/>
      <c r="B4" s="33" t="s">
        <v>86</v>
      </c>
      <c r="C4" s="33">
        <v>1</v>
      </c>
      <c r="D4" s="33">
        <v>2</v>
      </c>
      <c r="E4" s="33">
        <v>3</v>
      </c>
    </row>
    <row r="5" spans="1:8" ht="45.75" thickBot="1" x14ac:dyDescent="0.3">
      <c r="A5" s="34" t="s">
        <v>85</v>
      </c>
      <c r="B5" s="35" t="s">
        <v>87</v>
      </c>
      <c r="C5" s="35" t="s">
        <v>37</v>
      </c>
      <c r="D5" s="35" t="s">
        <v>47</v>
      </c>
      <c r="E5" s="35" t="s">
        <v>33</v>
      </c>
      <c r="F5" s="21"/>
      <c r="G5" s="21"/>
      <c r="H5" s="4"/>
    </row>
    <row r="6" spans="1:8" x14ac:dyDescent="0.25">
      <c r="A6" s="26" t="s">
        <v>36</v>
      </c>
      <c r="B6" s="21" t="s">
        <v>12</v>
      </c>
      <c r="C6" s="28">
        <v>200000</v>
      </c>
      <c r="D6" s="28">
        <v>500000</v>
      </c>
      <c r="E6" s="28">
        <v>150000</v>
      </c>
      <c r="F6" s="22"/>
      <c r="G6" s="22"/>
    </row>
    <row r="7" spans="1:8" x14ac:dyDescent="0.25">
      <c r="A7" s="26" t="s">
        <v>35</v>
      </c>
      <c r="B7" s="21" t="s">
        <v>27</v>
      </c>
      <c r="C7" s="27">
        <v>48.5</v>
      </c>
      <c r="D7" s="27">
        <v>48.5</v>
      </c>
      <c r="E7" s="27">
        <v>48.5</v>
      </c>
    </row>
    <row r="8" spans="1:8" x14ac:dyDescent="0.25">
      <c r="A8" s="26" t="s">
        <v>6</v>
      </c>
      <c r="B8" s="21" t="s">
        <v>12</v>
      </c>
      <c r="C8" s="28">
        <v>50000000</v>
      </c>
      <c r="D8" s="28">
        <v>50000000</v>
      </c>
      <c r="E8" s="28">
        <v>50000000</v>
      </c>
    </row>
    <row r="9" spans="1:8" x14ac:dyDescent="0.25">
      <c r="A9" s="26" t="s">
        <v>10</v>
      </c>
      <c r="B9" s="21" t="s">
        <v>12</v>
      </c>
      <c r="C9" s="29">
        <v>3250000000</v>
      </c>
      <c r="D9" s="29">
        <v>3250000000</v>
      </c>
      <c r="E9" s="29">
        <v>2900000000</v>
      </c>
    </row>
    <row r="10" spans="1:8" x14ac:dyDescent="0.25">
      <c r="A10" s="26" t="s">
        <v>11</v>
      </c>
      <c r="B10" s="21" t="s">
        <v>12</v>
      </c>
      <c r="C10" s="29">
        <v>4100000000</v>
      </c>
      <c r="D10" s="29">
        <v>4100000000</v>
      </c>
      <c r="E10" s="29">
        <v>3100000000</v>
      </c>
    </row>
    <row r="11" spans="1:8" x14ac:dyDescent="0.25">
      <c r="A11" s="26" t="s">
        <v>23</v>
      </c>
      <c r="B11" s="21" t="s">
        <v>24</v>
      </c>
      <c r="C11" s="28">
        <v>70000000</v>
      </c>
      <c r="D11" s="28">
        <v>70000000</v>
      </c>
      <c r="E11" s="28">
        <v>28000000</v>
      </c>
    </row>
    <row r="12" spans="1:8" x14ac:dyDescent="0.25">
      <c r="A12" s="26" t="s">
        <v>7</v>
      </c>
      <c r="B12" s="21" t="s">
        <v>13</v>
      </c>
      <c r="C12" s="28">
        <v>2.5000000000000001E-3</v>
      </c>
      <c r="D12" s="28">
        <v>2.5000000000000001E-3</v>
      </c>
      <c r="E12" s="28">
        <v>2.5000000000000001E-3</v>
      </c>
    </row>
    <row r="13" spans="1:8" x14ac:dyDescent="0.25">
      <c r="A13" s="26" t="s">
        <v>8</v>
      </c>
      <c r="B13" s="21" t="s">
        <v>13</v>
      </c>
      <c r="C13" s="114">
        <f>(C12*(3*2/(C9+C10)+0.0000000005))*C8</f>
        <v>1.6454081632653062E-4</v>
      </c>
      <c r="D13" s="114">
        <f t="shared" ref="D13:E13" si="0">(D12*(3*2/(D9+D10)+0.0000000005))*D8</f>
        <v>1.6454081632653062E-4</v>
      </c>
      <c r="E13" s="114">
        <f t="shared" si="0"/>
        <v>1.8750000000000003E-4</v>
      </c>
      <c r="H13" s="22"/>
    </row>
    <row r="14" spans="1:8" x14ac:dyDescent="0.25">
      <c r="A14" s="26" t="s">
        <v>9</v>
      </c>
      <c r="B14" s="21" t="s">
        <v>14</v>
      </c>
      <c r="C14" s="28">
        <v>2.7</v>
      </c>
      <c r="D14" s="28">
        <v>2.7</v>
      </c>
      <c r="E14" s="28">
        <v>2.7</v>
      </c>
    </row>
    <row r="15" spans="1:8" x14ac:dyDescent="0.25">
      <c r="A15" s="26" t="s">
        <v>83</v>
      </c>
      <c r="B15" s="21" t="s">
        <v>16</v>
      </c>
      <c r="C15" s="28">
        <v>9.9999999999999994E-12</v>
      </c>
      <c r="D15" s="28">
        <v>9.9999999999999994E-12</v>
      </c>
      <c r="E15" s="28">
        <v>9.9999999999999994E-12</v>
      </c>
    </row>
    <row r="16" spans="1:8" x14ac:dyDescent="0.25">
      <c r="A16" s="26" t="s">
        <v>164</v>
      </c>
      <c r="B16" s="21"/>
      <c r="C16" s="101" t="s">
        <v>165</v>
      </c>
      <c r="D16" s="101" t="s">
        <v>165</v>
      </c>
      <c r="E16" s="101" t="s">
        <v>165</v>
      </c>
    </row>
    <row r="17" spans="1:7" ht="15.75" thickBot="1" x14ac:dyDescent="0.3">
      <c r="A17" s="98" t="s">
        <v>162</v>
      </c>
      <c r="B17" s="30" t="s">
        <v>163</v>
      </c>
      <c r="C17" s="102" t="s">
        <v>160</v>
      </c>
      <c r="D17" s="102" t="s">
        <v>160</v>
      </c>
      <c r="E17" s="102" t="s">
        <v>160</v>
      </c>
    </row>
    <row r="18" spans="1:7" ht="15" hidden="1" customHeight="1" x14ac:dyDescent="0.25">
      <c r="A18" s="7" t="s">
        <v>22</v>
      </c>
      <c r="B18" s="4" t="s">
        <v>15</v>
      </c>
      <c r="C18" s="9">
        <f>C14/2/C13</f>
        <v>8204.6511627906984</v>
      </c>
      <c r="D18" s="9">
        <f>D14/2/D13</f>
        <v>8204.6511627906984</v>
      </c>
      <c r="E18" s="9">
        <f>E14/2/E13</f>
        <v>7199.9999999999991</v>
      </c>
    </row>
    <row r="19" spans="1:7" ht="15" hidden="1" customHeight="1" x14ac:dyDescent="0.25">
      <c r="A19" s="7" t="s">
        <v>188</v>
      </c>
      <c r="B19" s="4" t="s">
        <v>15</v>
      </c>
      <c r="C19" s="9">
        <f t="shared" ref="C19:E19" si="1">1/C28/C20</f>
        <v>544.26492617775955</v>
      </c>
      <c r="D19" s="9">
        <f t="shared" si="1"/>
        <v>1360.6623154443987</v>
      </c>
      <c r="E19" s="9">
        <f t="shared" si="1"/>
        <v>833.05856047616226</v>
      </c>
    </row>
    <row r="20" spans="1:7" ht="15" hidden="1" customHeight="1" x14ac:dyDescent="0.25">
      <c r="A20" s="7" t="s">
        <v>187</v>
      </c>
      <c r="B20" s="4" t="s">
        <v>16</v>
      </c>
      <c r="C20" s="9">
        <f t="shared" ref="C20:E20" si="2">C36-C21</f>
        <v>3.6552728146934321E-9</v>
      </c>
      <c r="D20" s="9">
        <f t="shared" si="2"/>
        <v>5.848436503509491E-10</v>
      </c>
      <c r="E20" s="9">
        <f t="shared" si="2"/>
        <v>3.1841487630218346E-9</v>
      </c>
    </row>
    <row r="21" spans="1:7" ht="15" hidden="1" customHeight="1" x14ac:dyDescent="0.25">
      <c r="A21" s="7" t="s">
        <v>186</v>
      </c>
      <c r="B21" s="4" t="s">
        <v>16</v>
      </c>
      <c r="C21" s="9">
        <f t="shared" ref="C21:E21" si="3">C36/C34</f>
        <v>2.7998320626433172E-10</v>
      </c>
      <c r="D21" s="9">
        <f t="shared" si="3"/>
        <v>4.479731300229307E-11</v>
      </c>
      <c r="E21" s="9">
        <f t="shared" si="3"/>
        <v>2.4389648190137342E-10</v>
      </c>
    </row>
    <row r="22" spans="1:7" ht="15" hidden="1" customHeight="1" x14ac:dyDescent="0.25">
      <c r="A22" s="7" t="s">
        <v>185</v>
      </c>
      <c r="B22" s="4" t="s">
        <v>15</v>
      </c>
      <c r="C22" s="9">
        <f t="shared" ref="C22:E22" si="4">1/C30/C23</f>
        <v>505.54189563618331</v>
      </c>
      <c r="D22" s="9">
        <f t="shared" si="4"/>
        <v>1263.8547390904585</v>
      </c>
      <c r="E22" s="9">
        <f t="shared" si="4"/>
        <v>773.78861576966824</v>
      </c>
    </row>
    <row r="23" spans="1:7" ht="15" hidden="1" customHeight="1" x14ac:dyDescent="0.25">
      <c r="A23" s="7" t="s">
        <v>184</v>
      </c>
      <c r="B23" s="4" t="s">
        <v>16</v>
      </c>
      <c r="C23" s="9">
        <f t="shared" ref="C23:E23" si="5">C21</f>
        <v>2.7998320626433172E-10</v>
      </c>
      <c r="D23" s="9">
        <f t="shared" si="5"/>
        <v>4.479731300229307E-11</v>
      </c>
      <c r="E23" s="9">
        <f t="shared" si="5"/>
        <v>2.4389648190137342E-10</v>
      </c>
    </row>
    <row r="24" spans="1:7" ht="15" hidden="1" customHeight="1" x14ac:dyDescent="0.25">
      <c r="A24" s="7" t="s">
        <v>178</v>
      </c>
      <c r="B24" s="110" t="s">
        <v>168</v>
      </c>
      <c r="C24" s="112" t="str">
        <f>IF(C6&lt;=150000,"-226.5",IF(AND(C6&gt;150000,C6&lt;=200000),"-228",IF(AND(C6&gt;200000,C6&lt;=400000),"-229.5",IF(C6&gt;400000,"-230"))))</f>
        <v>-228</v>
      </c>
      <c r="D24" s="112" t="str">
        <f t="shared" ref="D24:E24" si="6">IF(D6&lt;=150000,"-226.5",IF(AND(D6&gt;150000,D6&lt;=200000),"-228",IF(AND(D6&gt;200000,D6&lt;=400000),"-229.5",IF(D6&gt;400000,"-230"))))</f>
        <v>-230</v>
      </c>
      <c r="E24" s="112" t="str">
        <f t="shared" si="6"/>
        <v>-226.5</v>
      </c>
    </row>
    <row r="25" spans="1:7" ht="15" hidden="1" customHeight="1" x14ac:dyDescent="0.25">
      <c r="A25" s="10" t="s">
        <v>167</v>
      </c>
      <c r="B25" s="111" t="s">
        <v>168</v>
      </c>
      <c r="C25" s="109" t="str">
        <f t="shared" ref="C25:D25" si="7">IF(AND(C16="5|6",C17="INT-N"),"-230",IF(AND(C16="10|11",C17="INT-N"),"-228",IF(AND(C16="5|6",C17&lt;&gt;"INT-N"),C24,IF(AND(C16="10|11",C17&lt;&gt;"INT-N"),C24+2))))</f>
        <v>-228</v>
      </c>
      <c r="D25" s="109" t="str">
        <f t="shared" si="7"/>
        <v>-230</v>
      </c>
      <c r="E25" s="109" t="str">
        <f>IF(AND(E16="5|6",E17="INT-N"),"-230",IF(AND(E16="10|11",E17="INT-N"),"-228",IF(AND(E16="5|6",E17&lt;&gt;"INT-N"),E24,IF(AND(E16="10|11",E17&lt;&gt;"INT-N"),E24+2))))</f>
        <v>-226.5</v>
      </c>
      <c r="F25" s="22"/>
      <c r="G25" s="22"/>
    </row>
    <row r="26" spans="1:7" ht="15" hidden="1" customHeight="1" x14ac:dyDescent="0.25">
      <c r="A26" s="7" t="s">
        <v>26</v>
      </c>
      <c r="B26" s="4" t="s">
        <v>12</v>
      </c>
      <c r="C26" s="5">
        <f>AVERAGE(C9:C10)</f>
        <v>3675000000</v>
      </c>
      <c r="D26" s="5">
        <f>AVERAGE(D9:D10)</f>
        <v>3675000000</v>
      </c>
      <c r="E26" s="5">
        <f>AVERAGE(E9:E10)</f>
        <v>3000000000</v>
      </c>
      <c r="F26" s="22"/>
      <c r="G26" s="22"/>
    </row>
    <row r="27" spans="1:7" ht="15" hidden="1" customHeight="1" x14ac:dyDescent="0.25">
      <c r="A27" s="7" t="s">
        <v>21</v>
      </c>
      <c r="B27" s="4" t="s">
        <v>25</v>
      </c>
      <c r="C27" s="5">
        <f>2*PI()*C6</f>
        <v>1256637.0614359172</v>
      </c>
      <c r="D27" s="5">
        <f>2*PI()*D6</f>
        <v>3141592.653589793</v>
      </c>
      <c r="E27" s="5">
        <f>2*PI()*E6</f>
        <v>942477.79607693793</v>
      </c>
    </row>
    <row r="28" spans="1:7" ht="15" hidden="1" customHeight="1" x14ac:dyDescent="0.25">
      <c r="A28" s="7" t="s">
        <v>20</v>
      </c>
      <c r="B28" s="4" t="s">
        <v>25</v>
      </c>
      <c r="C28" s="5">
        <f t="shared" ref="C28:E28" si="8">C27/C33</f>
        <v>502654.82457436685</v>
      </c>
      <c r="D28" s="5">
        <f t="shared" si="8"/>
        <v>1256637.0614359172</v>
      </c>
      <c r="E28" s="5">
        <f t="shared" si="8"/>
        <v>376991.11843077518</v>
      </c>
    </row>
    <row r="29" spans="1:7" ht="15" hidden="1" customHeight="1" x14ac:dyDescent="0.25">
      <c r="A29" s="7" t="s">
        <v>18</v>
      </c>
      <c r="B29" s="4" t="s">
        <v>25</v>
      </c>
      <c r="C29" s="5">
        <f t="shared" ref="C29:E29" si="9">C34*C28</f>
        <v>7064978.8294882504</v>
      </c>
      <c r="D29" s="5">
        <f t="shared" si="9"/>
        <v>17662447.073720627</v>
      </c>
      <c r="E29" s="5">
        <f t="shared" si="9"/>
        <v>5298734.1221161885</v>
      </c>
    </row>
    <row r="30" spans="1:7" ht="15" hidden="1" customHeight="1" x14ac:dyDescent="0.25">
      <c r="A30" s="7" t="s">
        <v>19</v>
      </c>
      <c r="B30" s="4" t="s">
        <v>25</v>
      </c>
      <c r="C30" s="5">
        <f t="shared" ref="C30:E30" si="10">C29</f>
        <v>7064978.8294882504</v>
      </c>
      <c r="D30" s="5">
        <f t="shared" si="10"/>
        <v>17662447.073720627</v>
      </c>
      <c r="E30" s="5">
        <f t="shared" si="10"/>
        <v>5298734.1221161885</v>
      </c>
    </row>
    <row r="31" spans="1:7" ht="15" hidden="1" customHeight="1" x14ac:dyDescent="0.25">
      <c r="A31" s="7" t="s">
        <v>29</v>
      </c>
      <c r="B31" s="4"/>
      <c r="C31">
        <v>2</v>
      </c>
      <c r="D31">
        <v>2</v>
      </c>
      <c r="E31">
        <v>2</v>
      </c>
    </row>
    <row r="32" spans="1:7" ht="15" hidden="1" customHeight="1" x14ac:dyDescent="0.25">
      <c r="A32" s="7" t="s">
        <v>30</v>
      </c>
      <c r="C32" s="6">
        <f>C26/C8</f>
        <v>73.5</v>
      </c>
      <c r="D32" s="6">
        <f>D26/D8</f>
        <v>73.5</v>
      </c>
      <c r="E32" s="6">
        <f>E26/E8</f>
        <v>60</v>
      </c>
    </row>
    <row r="33" spans="1:7" ht="15" hidden="1" customHeight="1" x14ac:dyDescent="0.25">
      <c r="A33" s="7" t="s">
        <v>17</v>
      </c>
      <c r="B33" s="4"/>
      <c r="C33">
        <v>2.5</v>
      </c>
      <c r="D33">
        <v>2.5</v>
      </c>
      <c r="E33">
        <v>2.5</v>
      </c>
    </row>
    <row r="34" spans="1:7" ht="15" hidden="1" customHeight="1" x14ac:dyDescent="0.25">
      <c r="A34" s="7" t="s">
        <v>28</v>
      </c>
      <c r="C34" s="8">
        <f t="shared" ref="C34:E34" si="11">0.5*(C31*(1+C33^2)+SQRT(C31^2*(1+C33^2)^2-4*C33^2))</f>
        <v>14.0553287944081</v>
      </c>
      <c r="D34" s="8">
        <f t="shared" si="11"/>
        <v>14.0553287944081</v>
      </c>
      <c r="E34" s="8">
        <f t="shared" si="11"/>
        <v>14.0553287944081</v>
      </c>
    </row>
    <row r="35" spans="1:7" ht="15" hidden="1" customHeight="1" x14ac:dyDescent="0.25">
      <c r="A35" s="7" t="s">
        <v>31</v>
      </c>
      <c r="C35">
        <f t="shared" ref="C35:E35" si="12">C27^2/SQRT((C33^2+1)/((C33/C34)^2+1)^C31)</f>
        <v>605031125871.42517</v>
      </c>
      <c r="D35">
        <f t="shared" si="12"/>
        <v>3781444536696.4077</v>
      </c>
      <c r="E35">
        <f t="shared" si="12"/>
        <v>340330008302.6767</v>
      </c>
    </row>
    <row r="36" spans="1:7" ht="15" hidden="1" customHeight="1" x14ac:dyDescent="0.25">
      <c r="A36" s="7" t="s">
        <v>32</v>
      </c>
      <c r="B36" s="4" t="s">
        <v>16</v>
      </c>
      <c r="C36" s="5">
        <f>C12*C11/C32/C35</f>
        <v>3.9352560209577639E-9</v>
      </c>
      <c r="D36" s="5">
        <f>D12*D11/D32/D35</f>
        <v>6.2964096335324218E-10</v>
      </c>
      <c r="E36" s="5">
        <f>E12*E11/E32/E35</f>
        <v>3.428045244923208E-9</v>
      </c>
    </row>
    <row r="37" spans="1:7" x14ac:dyDescent="0.25">
      <c r="A37" s="11" t="s">
        <v>88</v>
      </c>
    </row>
    <row r="38" spans="1:7" x14ac:dyDescent="0.25">
      <c r="A38" s="15" t="s">
        <v>22</v>
      </c>
      <c r="B38" s="4" t="s">
        <v>15</v>
      </c>
      <c r="C38" s="12">
        <f t="array" ref="C38">INDEX(StdRVal,MATCH(MIN(ABS(StdRVal-C18)),ABS(StdRVal-C18),0),1)</f>
        <v>8200</v>
      </c>
      <c r="D38" s="12">
        <f t="array" ref="D38">INDEX(StdRVal,MATCH(MIN(ABS(StdRVal-D18)),ABS(StdRVal-D18),0),1)</f>
        <v>8200</v>
      </c>
      <c r="E38" s="12">
        <f t="array" ref="E38">INDEX(StdRVal,MATCH(MIN(ABS(StdRVal-E18)),ABS(StdRVal-E18),0),1)</f>
        <v>7500</v>
      </c>
    </row>
    <row r="39" spans="1:7" x14ac:dyDescent="0.25">
      <c r="A39" s="15" t="s">
        <v>188</v>
      </c>
      <c r="B39" s="4" t="s">
        <v>15</v>
      </c>
      <c r="C39" s="12">
        <f t="array" ref="C39">INDEX(StdRVal,MATCH(MIN(ABS(StdRVal-C19)),ABS(StdRVal-C19),0),1)</f>
        <v>560</v>
      </c>
      <c r="D39" s="12">
        <f t="array" ref="D39">INDEX(StdRVal,MATCH(MIN(ABS(StdRVal-D19)),ABS(StdRVal-D19),0),1)</f>
        <v>1300</v>
      </c>
      <c r="E39" s="12">
        <f t="array" ref="E39">INDEX(StdRVal,MATCH(MIN(ABS(StdRVal-E19)),ABS(StdRVal-E19),0),1)</f>
        <v>820</v>
      </c>
    </row>
    <row r="40" spans="1:7" x14ac:dyDescent="0.25">
      <c r="A40" s="15" t="s">
        <v>187</v>
      </c>
      <c r="B40" s="4" t="s">
        <v>16</v>
      </c>
      <c r="C40" s="12">
        <f t="array" ref="C40">INDEX(StdCapVal,MATCH(MIN(ABS(StdCapVal-C20)),ABS(StdCapVal-C20),0),1)</f>
        <v>3.9000000000000002E-9</v>
      </c>
      <c r="D40" s="12">
        <f t="array" ref="D40">INDEX(StdCapVal,MATCH(MIN(ABS(StdCapVal-D20)),ABS(StdCapVal-D20),0),1)</f>
        <v>5.6000000000000003E-10</v>
      </c>
      <c r="E40" s="12">
        <f t="array" ref="E40">INDEX(StdCapVal,MATCH(MIN(ABS(StdCapVal-E20)),ABS(StdCapVal-E20),0),1)</f>
        <v>3.2999999999999998E-9</v>
      </c>
    </row>
    <row r="41" spans="1:7" x14ac:dyDescent="0.25">
      <c r="A41" s="15" t="s">
        <v>186</v>
      </c>
      <c r="B41" s="4" t="s">
        <v>16</v>
      </c>
      <c r="C41" s="12">
        <f t="array" ref="C41">INDEX(StdCapVal,MATCH(MIN(ABS(StdCapVal-C21)),ABS(StdCapVal-C21),0),1)</f>
        <v>2.7E-10</v>
      </c>
      <c r="D41" s="12">
        <f t="array" ref="D41">INDEX(StdCapVal,MATCH(MIN(ABS(StdCapVal-D21)),ABS(StdCapVal-D21),0),1)</f>
        <v>4.6999999999999999E-11</v>
      </c>
      <c r="E41" s="12">
        <f t="array" ref="E41">INDEX(StdCapVal,MATCH(MIN(ABS(StdCapVal-E21)),ABS(StdCapVal-E21),0),1)</f>
        <v>2.1999999999999999E-10</v>
      </c>
    </row>
    <row r="42" spans="1:7" x14ac:dyDescent="0.25">
      <c r="A42" s="15" t="s">
        <v>185</v>
      </c>
      <c r="B42" s="4" t="s">
        <v>15</v>
      </c>
      <c r="C42" s="12">
        <f t="array" ref="C42">INDEX(StdRVal,MATCH(MIN(ABS(StdRVal-C22)),ABS(StdRVal-C22),0),1)</f>
        <v>510</v>
      </c>
      <c r="D42" s="12">
        <f t="array" ref="D42">INDEX(StdRVal,MATCH(MIN(ABS(StdRVal-D22)),ABS(StdRVal-D22),0),1)</f>
        <v>1300</v>
      </c>
      <c r="E42" s="12">
        <f t="array" ref="E42">INDEX(StdRVal,MATCH(MIN(ABS(StdRVal-E22)),ABS(StdRVal-E22),0),1)</f>
        <v>750</v>
      </c>
    </row>
    <row r="43" spans="1:7" x14ac:dyDescent="0.25">
      <c r="A43" s="15" t="s">
        <v>184</v>
      </c>
      <c r="B43" s="4" t="s">
        <v>16</v>
      </c>
      <c r="C43" s="12">
        <f t="array" ref="C43">INDEX(StdCapVal,MATCH(MIN(ABS(StdCapVal-C23)),ABS(StdCapVal-C23),0),1)</f>
        <v>2.7E-10</v>
      </c>
      <c r="D43" s="12">
        <f t="array" ref="D43">INDEX(StdCapVal,MATCH(MIN(ABS(StdCapVal-D23)),ABS(StdCapVal-D23),0),1)</f>
        <v>4.6999999999999999E-11</v>
      </c>
      <c r="E43" s="12">
        <f t="array" ref="E43">INDEX(StdCapVal,MATCH(MIN(ABS(StdCapVal-E23)),ABS(StdCapVal-E23),0),1)</f>
        <v>2.1999999999999999E-10</v>
      </c>
    </row>
    <row r="45" spans="1:7" x14ac:dyDescent="0.25">
      <c r="B45" s="4"/>
    </row>
    <row r="46" spans="1:7" x14ac:dyDescent="0.25">
      <c r="A46" s="11" t="s">
        <v>44</v>
      </c>
      <c r="B46" s="4"/>
      <c r="G46" s="94" t="s">
        <v>179</v>
      </c>
    </row>
    <row r="47" spans="1:7" x14ac:dyDescent="0.25">
      <c r="A47" s="15" t="s">
        <v>38</v>
      </c>
      <c r="B47" s="4"/>
      <c r="C47" s="4" t="s">
        <v>45</v>
      </c>
      <c r="D47" s="4" t="s">
        <v>45</v>
      </c>
      <c r="E47" s="4" t="s">
        <v>45</v>
      </c>
    </row>
    <row r="48" spans="1:7" x14ac:dyDescent="0.25">
      <c r="A48" s="15" t="s">
        <v>39</v>
      </c>
      <c r="B48" s="4"/>
      <c r="C48" s="4" t="s">
        <v>50</v>
      </c>
      <c r="D48" s="4" t="s">
        <v>50</v>
      </c>
      <c r="E48" s="4" t="s">
        <v>43</v>
      </c>
    </row>
    <row r="49" spans="1:7" x14ac:dyDescent="0.25">
      <c r="A49" s="15" t="s">
        <v>40</v>
      </c>
      <c r="B49" s="4" t="s">
        <v>24</v>
      </c>
      <c r="C49" s="4" t="s">
        <v>51</v>
      </c>
      <c r="D49" s="4" t="s">
        <v>51</v>
      </c>
      <c r="E49" s="14">
        <v>28000000</v>
      </c>
    </row>
    <row r="50" spans="1:7" x14ac:dyDescent="0.25">
      <c r="A50" s="15" t="s">
        <v>42</v>
      </c>
      <c r="B50" s="4" t="s">
        <v>46</v>
      </c>
      <c r="C50" s="4">
        <v>-112.35</v>
      </c>
      <c r="D50" s="4">
        <v>-112.35</v>
      </c>
      <c r="E50" s="14">
        <v>-130</v>
      </c>
    </row>
    <row r="51" spans="1:7" x14ac:dyDescent="0.25">
      <c r="A51" s="15" t="s">
        <v>41</v>
      </c>
      <c r="B51" s="4" t="s">
        <v>12</v>
      </c>
      <c r="C51" s="16">
        <v>100000</v>
      </c>
      <c r="D51" s="16">
        <v>100000</v>
      </c>
      <c r="E51" s="14">
        <v>100000</v>
      </c>
    </row>
    <row r="52" spans="1:7" x14ac:dyDescent="0.25">
      <c r="B52" s="4"/>
      <c r="G52" s="4"/>
    </row>
    <row r="53" spans="1:7" x14ac:dyDescent="0.25">
      <c r="B53" s="4"/>
    </row>
    <row r="54" spans="1:7" x14ac:dyDescent="0.25">
      <c r="A54" s="1" t="s">
        <v>56</v>
      </c>
      <c r="B54" s="4"/>
      <c r="C54" s="4" t="s">
        <v>64</v>
      </c>
    </row>
    <row r="55" spans="1:7" x14ac:dyDescent="0.25">
      <c r="A55" t="s">
        <v>5</v>
      </c>
      <c r="C55" s="113">
        <v>3</v>
      </c>
    </row>
    <row r="56" spans="1:7" hidden="1" x14ac:dyDescent="0.25">
      <c r="A56" t="s">
        <v>36</v>
      </c>
      <c r="B56" t="s">
        <v>12</v>
      </c>
      <c r="C56">
        <f>HLOOKUP($C$55,$C$4:$H$43,3)</f>
        <v>150000</v>
      </c>
    </row>
    <row r="57" spans="1:7" hidden="1" x14ac:dyDescent="0.25">
      <c r="A57" t="s">
        <v>35</v>
      </c>
      <c r="B57" t="s">
        <v>27</v>
      </c>
      <c r="C57">
        <f>HLOOKUP($C$55,$C$4:$H$43,4)</f>
        <v>48.5</v>
      </c>
    </row>
    <row r="58" spans="1:7" hidden="1" x14ac:dyDescent="0.25">
      <c r="A58" s="15" t="s">
        <v>6</v>
      </c>
      <c r="B58" s="4" t="s">
        <v>12</v>
      </c>
      <c r="C58">
        <f>HLOOKUP($C$55,$C$4:$H$43,5)</f>
        <v>50000000</v>
      </c>
    </row>
    <row r="59" spans="1:7" hidden="1" x14ac:dyDescent="0.25">
      <c r="A59" s="15" t="s">
        <v>10</v>
      </c>
      <c r="B59" s="4" t="s">
        <v>12</v>
      </c>
      <c r="C59">
        <f>HLOOKUP($C$55,$C$4:$H$43,6)</f>
        <v>2900000000</v>
      </c>
    </row>
    <row r="60" spans="1:7" hidden="1" x14ac:dyDescent="0.25">
      <c r="A60" s="15" t="s">
        <v>11</v>
      </c>
      <c r="B60" s="4" t="s">
        <v>12</v>
      </c>
      <c r="C60">
        <f>HLOOKUP($C$55,$C$4:$H$43,7)</f>
        <v>3100000000</v>
      </c>
    </row>
    <row r="61" spans="1:7" hidden="1" x14ac:dyDescent="0.25">
      <c r="A61" s="15" t="s">
        <v>113</v>
      </c>
      <c r="B61" s="78"/>
      <c r="C61" t="str">
        <f>HLOOKUP($C$55,$C$4:$H$51,45)</f>
        <v>CRO3035A-LF</v>
      </c>
    </row>
    <row r="62" spans="1:7" hidden="1" x14ac:dyDescent="0.25">
      <c r="A62" s="15" t="s">
        <v>23</v>
      </c>
      <c r="B62" s="4" t="s">
        <v>24</v>
      </c>
      <c r="C62">
        <f>HLOOKUP($C$55,$C$4:$H$43,8)</f>
        <v>28000000</v>
      </c>
    </row>
    <row r="63" spans="1:7" hidden="1" x14ac:dyDescent="0.25">
      <c r="A63" s="15" t="s">
        <v>42</v>
      </c>
      <c r="B63" s="78" t="s">
        <v>46</v>
      </c>
      <c r="C63">
        <f>HLOOKUP($C$55,$C$4:$H$51,47)</f>
        <v>-130</v>
      </c>
    </row>
    <row r="64" spans="1:7" hidden="1" x14ac:dyDescent="0.25">
      <c r="A64" s="15" t="s">
        <v>41</v>
      </c>
      <c r="B64" s="78" t="s">
        <v>12</v>
      </c>
      <c r="C64">
        <f>HLOOKUP($C$55,$C$4:$H$51,48)</f>
        <v>100000</v>
      </c>
    </row>
    <row r="65" spans="1:4" hidden="1" x14ac:dyDescent="0.25">
      <c r="A65" s="15" t="s">
        <v>7</v>
      </c>
      <c r="B65" s="4" t="s">
        <v>13</v>
      </c>
      <c r="C65">
        <f>HLOOKUP($C$55,$C$4:$H$43,9)</f>
        <v>2.5000000000000001E-3</v>
      </c>
    </row>
    <row r="66" spans="1:4" hidden="1" x14ac:dyDescent="0.25">
      <c r="A66" s="15" t="s">
        <v>8</v>
      </c>
      <c r="B66" s="4" t="s">
        <v>13</v>
      </c>
      <c r="C66">
        <f>HLOOKUP($C$55,$C$4:$H$43,10)</f>
        <v>1.8750000000000003E-4</v>
      </c>
    </row>
    <row r="67" spans="1:4" hidden="1" x14ac:dyDescent="0.25">
      <c r="A67" s="15" t="s">
        <v>9</v>
      </c>
      <c r="B67" s="4" t="s">
        <v>14</v>
      </c>
      <c r="C67">
        <f>HLOOKUP($C$55,$C$4:$H$43,11)</f>
        <v>2.7</v>
      </c>
    </row>
    <row r="68" spans="1:4" hidden="1" x14ac:dyDescent="0.25">
      <c r="A68" s="15" t="s">
        <v>164</v>
      </c>
      <c r="B68" s="99" t="s">
        <v>165</v>
      </c>
      <c r="C68" s="97" t="str">
        <f>HLOOKUP($C$59,$C$4:$J$48,22)</f>
        <v>-226.5</v>
      </c>
      <c r="D68">
        <v>-263</v>
      </c>
    </row>
    <row r="69" spans="1:4" hidden="1" x14ac:dyDescent="0.25">
      <c r="A69" s="15"/>
      <c r="B69" s="99" t="s">
        <v>166</v>
      </c>
      <c r="C69" s="97" t="str">
        <f>HLOOKUP($C$59,$C$4:$J$48,13)</f>
        <v>5|6</v>
      </c>
      <c r="D69">
        <v>-260</v>
      </c>
    </row>
    <row r="70" spans="1:4" hidden="1" x14ac:dyDescent="0.25">
      <c r="A70" s="15" t="s">
        <v>161</v>
      </c>
      <c r="B70" s="110" t="s">
        <v>177</v>
      </c>
      <c r="C70" s="97" t="str">
        <f>IF(HLOOKUP($C$55,$C$4:$H$43,14)="INT-N","0",IF(HLOOKUP($C$55,$C$4:$H$43,14)="MASH 1-1","2",IF(HLOOKUP($C$55,$C$4:$H$43,14)="MASH 1-1-1","3")))</f>
        <v>3</v>
      </c>
    </row>
    <row r="71" spans="1:4" hidden="1" x14ac:dyDescent="0.25">
      <c r="B71" s="96" t="s">
        <v>159</v>
      </c>
    </row>
    <row r="72" spans="1:4" hidden="1" x14ac:dyDescent="0.25">
      <c r="A72" s="15"/>
      <c r="B72" s="96" t="s">
        <v>160</v>
      </c>
      <c r="C72" s="97" t="str">
        <f>HLOOKUP($C$55,$C$4:$H$43,14)</f>
        <v>MASH 1-1-1</v>
      </c>
    </row>
    <row r="73" spans="1:4" hidden="1" x14ac:dyDescent="0.25">
      <c r="A73" s="15" t="s">
        <v>60</v>
      </c>
      <c r="B73" s="4"/>
      <c r="C73">
        <f>HLOOKUP($C$55,$C$4:$H$43,29)</f>
        <v>60</v>
      </c>
    </row>
    <row r="74" spans="1:4" hidden="1" x14ac:dyDescent="0.25">
      <c r="A74" s="7" t="s">
        <v>20</v>
      </c>
      <c r="B74" s="4"/>
      <c r="C74">
        <f>HLOOKUP($C$55,$C$4:$H$43,25)</f>
        <v>376991.11843077518</v>
      </c>
    </row>
    <row r="75" spans="1:4" hidden="1" x14ac:dyDescent="0.25">
      <c r="A75" s="7" t="s">
        <v>18</v>
      </c>
      <c r="B75" s="4"/>
      <c r="C75">
        <f>HLOOKUP($C$55,$C$4:$H$43,26)</f>
        <v>5298734.1221161885</v>
      </c>
    </row>
    <row r="76" spans="1:4" hidden="1" x14ac:dyDescent="0.25">
      <c r="A76" s="7" t="s">
        <v>19</v>
      </c>
      <c r="B76" s="4"/>
      <c r="C76">
        <f>HLOOKUP($C$55,$C$4:$H$43,27)</f>
        <v>5298734.1221161885</v>
      </c>
    </row>
    <row r="77" spans="1:4" hidden="1" x14ac:dyDescent="0.25">
      <c r="A77" s="7" t="s">
        <v>32</v>
      </c>
      <c r="B77" s="78" t="s">
        <v>16</v>
      </c>
      <c r="C77">
        <f>HLOOKUP($C$55,$C$4:$H$43,33)</f>
        <v>3.428045244923208E-9</v>
      </c>
    </row>
    <row r="78" spans="1:4" hidden="1" x14ac:dyDescent="0.25">
      <c r="A78" s="15" t="s">
        <v>22</v>
      </c>
      <c r="B78" s="4" t="s">
        <v>15</v>
      </c>
      <c r="C78">
        <f>HLOOKUP($C$55,$C$4:$H$43,35)</f>
        <v>7500</v>
      </c>
    </row>
    <row r="79" spans="1:4" hidden="1" x14ac:dyDescent="0.25">
      <c r="A79" s="15" t="s">
        <v>188</v>
      </c>
      <c r="B79" s="4" t="s">
        <v>15</v>
      </c>
      <c r="C79">
        <f>HLOOKUP($C$55,$C$4:$H$43,36)</f>
        <v>820</v>
      </c>
    </row>
    <row r="80" spans="1:4" hidden="1" x14ac:dyDescent="0.25">
      <c r="A80" s="15" t="s">
        <v>187</v>
      </c>
      <c r="B80" s="4" t="s">
        <v>16</v>
      </c>
      <c r="C80">
        <f>HLOOKUP($C$55,$C$4:$H$43,37)</f>
        <v>3.2999999999999998E-9</v>
      </c>
    </row>
    <row r="81" spans="1:4" hidden="1" x14ac:dyDescent="0.25">
      <c r="A81" s="15" t="s">
        <v>186</v>
      </c>
      <c r="B81" s="4" t="s">
        <v>16</v>
      </c>
      <c r="C81">
        <f>HLOOKUP($C$55,$C$4:$H$43,38)</f>
        <v>2.1999999999999999E-10</v>
      </c>
    </row>
    <row r="82" spans="1:4" hidden="1" x14ac:dyDescent="0.25">
      <c r="A82" s="15" t="s">
        <v>185</v>
      </c>
      <c r="B82" s="4" t="s">
        <v>15</v>
      </c>
      <c r="C82">
        <f>HLOOKUP($C$55,$C$4:$H$43,39)</f>
        <v>750</v>
      </c>
    </row>
    <row r="83" spans="1:4" hidden="1" x14ac:dyDescent="0.25">
      <c r="A83" s="15" t="s">
        <v>184</v>
      </c>
      <c r="B83" s="4" t="s">
        <v>16</v>
      </c>
      <c r="C83">
        <f>HLOOKUP($C$55,$C$4:$H$43,40)</f>
        <v>2.1999999999999999E-10</v>
      </c>
    </row>
    <row r="84" spans="1:4" hidden="1" x14ac:dyDescent="0.25"/>
    <row r="85" spans="1:4" x14ac:dyDescent="0.25">
      <c r="A85" t="s">
        <v>57</v>
      </c>
      <c r="B85" s="5">
        <v>1000</v>
      </c>
    </row>
    <row r="86" spans="1:4" x14ac:dyDescent="0.25">
      <c r="A86" t="s">
        <v>58</v>
      </c>
      <c r="B86" s="5">
        <v>100000000</v>
      </c>
    </row>
    <row r="87" spans="1:4" x14ac:dyDescent="0.25">
      <c r="B87" s="16" t="s">
        <v>59</v>
      </c>
      <c r="C87" s="4" t="s">
        <v>62</v>
      </c>
      <c r="D87" s="7" t="s">
        <v>61</v>
      </c>
    </row>
    <row r="88" spans="1:4" x14ac:dyDescent="0.25">
      <c r="A88">
        <v>0</v>
      </c>
      <c r="B88" s="5">
        <f>$B$85*10^(A88/100*(LOG10($B$86/$B$85)))</f>
        <v>1000</v>
      </c>
      <c r="C88" s="5">
        <f t="shared" ref="C88:C119" si="13">20*LOG10(C$65*C$62/C$73/(C$80+C$81)/(2*PI()*B88)^2*SQRT((2*PI()*B88/C$74)^2+1)/(SQRT((2*PI()*B88/C$75)^2+1)))</f>
        <v>78.482087888164841</v>
      </c>
      <c r="D88" s="5">
        <f>180/PI()*(ATAN(2*PI()*B88/C$74)-ATAN(2*PI()*B88/C$75)-ATAN(2*PI()*B88/C$76))</f>
        <v>0.81895980635217236</v>
      </c>
    </row>
    <row r="89" spans="1:4" x14ac:dyDescent="0.25">
      <c r="A89">
        <v>1</v>
      </c>
      <c r="B89" s="5">
        <f t="shared" ref="B89:B152" si="14">$B$85*10^(A89/100*(LOG10($B$86/$B$85)))</f>
        <v>1122.0184543019636</v>
      </c>
      <c r="C89" s="5">
        <f t="shared" si="13"/>
        <v>76.482398569814208</v>
      </c>
      <c r="D89" s="5">
        <f t="shared" ref="D89:D152" si="15">180/PI()*(ATAN(2*PI()*B89/C$74)-ATAN(2*PI()*B89/C$75)-ATAN(2*PI()*B89/C$76))</f>
        <v>0.91886235670150496</v>
      </c>
    </row>
    <row r="90" spans="1:4" x14ac:dyDescent="0.25">
      <c r="A90">
        <v>2</v>
      </c>
      <c r="B90" s="5">
        <f t="shared" si="14"/>
        <v>1258.9254117941673</v>
      </c>
      <c r="C90" s="5">
        <f t="shared" si="13"/>
        <v>74.482789662916289</v>
      </c>
      <c r="D90" s="5">
        <f t="shared" si="15"/>
        <v>1.0309442799114661</v>
      </c>
    </row>
    <row r="91" spans="1:4" x14ac:dyDescent="0.25">
      <c r="A91">
        <v>3</v>
      </c>
      <c r="B91" s="5">
        <f t="shared" si="14"/>
        <v>1412.5375446227545</v>
      </c>
      <c r="C91" s="5">
        <f t="shared" si="13"/>
        <v>72.483281969378368</v>
      </c>
      <c r="D91" s="5">
        <f t="shared" si="15"/>
        <v>1.1566873215456377</v>
      </c>
    </row>
    <row r="92" spans="1:4" x14ac:dyDescent="0.25">
      <c r="A92">
        <v>4</v>
      </c>
      <c r="B92" s="5">
        <f t="shared" si="14"/>
        <v>1584.8931924611136</v>
      </c>
      <c r="C92" s="5">
        <f t="shared" si="13"/>
        <v>70.483901666344607</v>
      </c>
      <c r="D92" s="5">
        <f t="shared" si="15"/>
        <v>1.2977522298370032</v>
      </c>
    </row>
    <row r="93" spans="1:4" x14ac:dyDescent="0.25">
      <c r="A93">
        <v>5</v>
      </c>
      <c r="B93" s="5">
        <f t="shared" si="14"/>
        <v>1778.2794100389231</v>
      </c>
      <c r="C93" s="5">
        <f t="shared" si="13"/>
        <v>68.484681691612053</v>
      </c>
      <c r="D93" s="5">
        <f t="shared" si="15"/>
        <v>1.4559998573878272</v>
      </c>
    </row>
    <row r="94" spans="1:4" x14ac:dyDescent="0.25">
      <c r="A94">
        <v>6</v>
      </c>
      <c r="B94" s="5">
        <f t="shared" si="14"/>
        <v>1995.2623149688798</v>
      </c>
      <c r="C94" s="5">
        <f t="shared" si="13"/>
        <v>66.485663484049894</v>
      </c>
      <c r="D94" s="5">
        <f t="shared" si="15"/>
        <v>1.6335145337091816</v>
      </c>
    </row>
    <row r="95" spans="1:4" x14ac:dyDescent="0.25">
      <c r="A95">
        <v>7</v>
      </c>
      <c r="B95" s="5">
        <f t="shared" si="14"/>
        <v>2238.7211385683399</v>
      </c>
      <c r="C95" s="5">
        <f t="shared" si="13"/>
        <v>64.486899168776745</v>
      </c>
      <c r="D95" s="5">
        <f t="shared" si="15"/>
        <v>1.8326298612929011</v>
      </c>
    </row>
    <row r="96" spans="1:4" x14ac:dyDescent="0.25">
      <c r="A96">
        <v>8</v>
      </c>
      <c r="B96" s="5">
        <f t="shared" si="14"/>
        <v>2511.8864315095807</v>
      </c>
      <c r="C96" s="5">
        <f t="shared" si="13"/>
        <v>62.488454298833588</v>
      </c>
      <c r="D96" s="5">
        <f t="shared" si="15"/>
        <v>2.0559570560002558</v>
      </c>
    </row>
    <row r="97" spans="1:4" x14ac:dyDescent="0.25">
      <c r="A97">
        <v>9</v>
      </c>
      <c r="B97" s="5">
        <f t="shared" si="14"/>
        <v>2818.3829312644539</v>
      </c>
      <c r="C97" s="5">
        <f t="shared" si="13"/>
        <v>60.490411292038495</v>
      </c>
      <c r="D97" s="5">
        <f t="shared" si="15"/>
        <v>2.3064158964999608</v>
      </c>
    </row>
    <row r="98" spans="1:4" x14ac:dyDescent="0.25">
      <c r="A98">
        <v>10</v>
      </c>
      <c r="B98" s="5">
        <f t="shared" si="14"/>
        <v>3162.2776601683795</v>
      </c>
      <c r="C98" s="5">
        <f t="shared" si="13"/>
        <v>58.492873734493323</v>
      </c>
      <c r="D98" s="5">
        <f t="shared" si="15"/>
        <v>2.5872682564549465</v>
      </c>
    </row>
    <row r="99" spans="1:4" x14ac:dyDescent="0.25">
      <c r="A99">
        <v>11</v>
      </c>
      <c r="B99" s="5">
        <f t="shared" si="14"/>
        <v>3548.1338923357553</v>
      </c>
      <c r="C99" s="5">
        <f t="shared" si="13"/>
        <v>56.495971761691933</v>
      </c>
      <c r="D99" s="5">
        <f t="shared" si="15"/>
        <v>2.9021540520781741</v>
      </c>
    </row>
    <row r="100" spans="1:4" x14ac:dyDescent="0.25">
      <c r="A100">
        <v>12</v>
      </c>
      <c r="B100" s="5">
        <f t="shared" si="14"/>
        <v>3981.0717055349728</v>
      </c>
      <c r="C100" s="5">
        <f t="shared" si="13"/>
        <v>54.499868775074773</v>
      </c>
      <c r="D100" s="5">
        <f t="shared" si="15"/>
        <v>3.2551292258149074</v>
      </c>
    </row>
    <row r="101" spans="1:4" x14ac:dyDescent="0.25">
      <c r="A101">
        <v>13</v>
      </c>
      <c r="B101" s="5">
        <f t="shared" si="14"/>
        <v>4466.8359215096316</v>
      </c>
      <c r="C101" s="5">
        <f t="shared" si="13"/>
        <v>52.504769806532543</v>
      </c>
      <c r="D101" s="5">
        <f t="shared" si="15"/>
        <v>3.6507050760395328</v>
      </c>
    </row>
    <row r="102" spans="1:4" x14ac:dyDescent="0.25">
      <c r="A102">
        <v>14</v>
      </c>
      <c r="B102" s="5">
        <f t="shared" si="14"/>
        <v>5011.8723362727242</v>
      </c>
      <c r="C102" s="5">
        <f t="shared" si="13"/>
        <v>50.510931905364778</v>
      </c>
      <c r="D102" s="5">
        <f t="shared" si="15"/>
        <v>4.0938877949162054</v>
      </c>
    </row>
    <row r="103" spans="1:4" x14ac:dyDescent="0.25">
      <c r="A103">
        <v>15</v>
      </c>
      <c r="B103" s="5">
        <f t="shared" si="14"/>
        <v>5623.413251903492</v>
      </c>
      <c r="C103" s="5">
        <f t="shared" si="13"/>
        <v>48.518676989734715</v>
      </c>
      <c r="D103" s="5">
        <f t="shared" si="15"/>
        <v>4.5902164421056249</v>
      </c>
    </row>
    <row r="104" spans="1:4" x14ac:dyDescent="0.25">
      <c r="A104">
        <v>16</v>
      </c>
      <c r="B104" s="5">
        <f t="shared" si="14"/>
        <v>6309.5734448019339</v>
      </c>
      <c r="C104" s="5">
        <f t="shared" si="13"/>
        <v>46.52840767352793</v>
      </c>
      <c r="D104" s="5">
        <f t="shared" si="15"/>
        <v>5.1457966967879836</v>
      </c>
    </row>
    <row r="105" spans="1:4" x14ac:dyDescent="0.25">
      <c r="A105">
        <v>17</v>
      </c>
      <c r="B105" s="5">
        <f t="shared" si="14"/>
        <v>7079.457843841381</v>
      </c>
      <c r="C105" s="5">
        <f t="shared" si="13"/>
        <v>44.540626641626105</v>
      </c>
      <c r="D105" s="5">
        <f t="shared" si="15"/>
        <v>5.7673265152201445</v>
      </c>
    </row>
    <row r="106" spans="1:4" x14ac:dyDescent="0.25">
      <c r="A106">
        <v>18</v>
      </c>
      <c r="B106" s="5">
        <f t="shared" si="14"/>
        <v>7943.2823472428136</v>
      </c>
      <c r="C106" s="5">
        <f t="shared" si="13"/>
        <v>42.555960187777295</v>
      </c>
      <c r="D106" s="5">
        <f t="shared" si="15"/>
        <v>6.4621081827505735</v>
      </c>
    </row>
    <row r="107" spans="1:4" x14ac:dyDescent="0.25">
      <c r="A107">
        <v>19</v>
      </c>
      <c r="B107" s="5">
        <f t="shared" si="14"/>
        <v>8912.5093813374569</v>
      </c>
      <c r="C107" s="5">
        <f t="shared" si="13"/>
        <v>40.57518652617938</v>
      </c>
      <c r="D107" s="5">
        <f t="shared" si="15"/>
        <v>7.2380390883649088</v>
      </c>
    </row>
    <row r="108" spans="1:4" x14ac:dyDescent="0.25">
      <c r="A108">
        <v>20</v>
      </c>
      <c r="B108" s="5">
        <f t="shared" si="14"/>
        <v>10000</v>
      </c>
      <c r="C108" s="5">
        <f t="shared" si="13"/>
        <v>38.599269404203028</v>
      </c>
      <c r="D108" s="5">
        <f t="shared" si="15"/>
        <v>8.1035707781354578</v>
      </c>
    </row>
    <row r="109" spans="1:4" x14ac:dyDescent="0.25">
      <c r="A109">
        <v>21</v>
      </c>
      <c r="B109" s="5">
        <f t="shared" si="14"/>
        <v>11220.184543019635</v>
      </c>
      <c r="C109" s="5">
        <f t="shared" si="13"/>
        <v>36.62939732525664</v>
      </c>
      <c r="D109" s="5">
        <f t="shared" si="15"/>
        <v>9.0676224201817455</v>
      </c>
    </row>
    <row r="110" spans="1:4" x14ac:dyDescent="0.25">
      <c r="A110">
        <v>22</v>
      </c>
      <c r="B110" s="5">
        <f t="shared" si="14"/>
        <v>12589.25411794168</v>
      </c>
      <c r="C110" s="5">
        <f t="shared" si="13"/>
        <v>34.667028261489328</v>
      </c>
      <c r="D110" s="5">
        <f t="shared" si="15"/>
        <v>10.139430808386706</v>
      </c>
    </row>
    <row r="111" spans="1:4" x14ac:dyDescent="0.25">
      <c r="A111">
        <v>23</v>
      </c>
      <c r="B111" s="5">
        <f t="shared" si="14"/>
        <v>14125.37544622755</v>
      </c>
      <c r="C111" s="5">
        <f t="shared" si="13"/>
        <v>32.7139389959219</v>
      </c>
      <c r="D111" s="5">
        <f t="shared" si="15"/>
        <v>11.328314733371972</v>
      </c>
    </row>
    <row r="112" spans="1:4" x14ac:dyDescent="0.25">
      <c r="A112">
        <v>24</v>
      </c>
      <c r="B112" s="5">
        <f t="shared" si="14"/>
        <v>15848.931924611137</v>
      </c>
      <c r="C112" s="5">
        <f t="shared" si="13"/>
        <v>30.772277064510845</v>
      </c>
      <c r="D112" s="5">
        <f t="shared" si="15"/>
        <v>12.643327620878166</v>
      </c>
    </row>
    <row r="113" spans="1:4" x14ac:dyDescent="0.25">
      <c r="A113">
        <v>25</v>
      </c>
      <c r="B113" s="5">
        <f t="shared" si="14"/>
        <v>17782.794100389234</v>
      </c>
      <c r="C113" s="5">
        <f t="shared" si="13"/>
        <v>28.844611554699991</v>
      </c>
      <c r="D113" s="5">
        <f t="shared" si="15"/>
        <v>14.092770025206036</v>
      </c>
    </row>
    <row r="114" spans="1:4" x14ac:dyDescent="0.25">
      <c r="A114">
        <v>26</v>
      </c>
      <c r="B114" s="5">
        <f t="shared" si="14"/>
        <v>19952.623149688803</v>
      </c>
      <c r="C114" s="5">
        <f t="shared" si="13"/>
        <v>26.933976691621304</v>
      </c>
      <c r="D114" s="5">
        <f t="shared" si="15"/>
        <v>15.683534910917297</v>
      </c>
    </row>
    <row r="115" spans="1:4" x14ac:dyDescent="0.25">
      <c r="A115">
        <v>27</v>
      </c>
      <c r="B115" s="5">
        <f t="shared" si="14"/>
        <v>22387.211385683404</v>
      </c>
      <c r="C115" s="5">
        <f t="shared" si="13"/>
        <v>25.043899274868124</v>
      </c>
      <c r="D115" s="5">
        <f t="shared" si="15"/>
        <v>17.420266610519253</v>
      </c>
    </row>
    <row r="116" spans="1:4" x14ac:dyDescent="0.25">
      <c r="A116">
        <v>28</v>
      </c>
      <c r="B116" s="5">
        <f t="shared" si="14"/>
        <v>25118.864315095809</v>
      </c>
      <c r="C116" s="5">
        <f t="shared" si="13"/>
        <v>23.178397951251164</v>
      </c>
      <c r="D116" s="5">
        <f t="shared" si="15"/>
        <v>19.304332554476613</v>
      </c>
    </row>
    <row r="117" spans="1:4" x14ac:dyDescent="0.25">
      <c r="A117">
        <v>29</v>
      </c>
      <c r="B117" s="5">
        <f t="shared" si="14"/>
        <v>28183.82931264455</v>
      </c>
      <c r="C117" s="5">
        <f t="shared" si="13"/>
        <v>21.341939774132758</v>
      </c>
      <c r="D117" s="5">
        <f t="shared" si="15"/>
        <v>21.332638786645735</v>
      </c>
    </row>
    <row r="118" spans="1:4" x14ac:dyDescent="0.25">
      <c r="A118">
        <v>30</v>
      </c>
      <c r="B118" s="5">
        <f t="shared" si="14"/>
        <v>31622.776601683803</v>
      </c>
      <c r="C118" s="5">
        <f t="shared" si="13"/>
        <v>19.539338782613928</v>
      </c>
      <c r="D118" s="5">
        <f t="shared" si="15"/>
        <v>23.496367251564866</v>
      </c>
    </row>
    <row r="119" spans="1:4" x14ac:dyDescent="0.25">
      <c r="A119">
        <v>31</v>
      </c>
      <c r="B119" s="5">
        <f t="shared" si="14"/>
        <v>35481.338923357558</v>
      </c>
      <c r="C119" s="5">
        <f t="shared" si="13"/>
        <v>17.775584141439371</v>
      </c>
      <c r="D119" s="5">
        <f t="shared" si="15"/>
        <v>25.779771123655681</v>
      </c>
    </row>
    <row r="120" spans="1:4" x14ac:dyDescent="0.25">
      <c r="A120">
        <v>32</v>
      </c>
      <c r="B120" s="5">
        <f t="shared" si="14"/>
        <v>39810.717055349756</v>
      </c>
      <c r="C120" s="5">
        <f t="shared" ref="C120:C151" si="16">20*LOG10(C$65*C$62/C$73/(C$80+C$81)/(2*PI()*B120)^2*SQRT((2*PI()*B120/C$74)^2+1)/(SQRT((2*PI()*B120/C$75)^2+1)))</f>
        <v>16.05559337789488</v>
      </c>
      <c r="D120" s="5">
        <f t="shared" si="15"/>
        <v>28.159221983180419</v>
      </c>
    </row>
    <row r="121" spans="1:4" x14ac:dyDescent="0.25">
      <c r="A121">
        <v>33</v>
      </c>
      <c r="B121" s="5">
        <f t="shared" si="14"/>
        <v>44668.359215096345</v>
      </c>
      <c r="C121" s="5">
        <f t="shared" si="16"/>
        <v>14.383900080782055</v>
      </c>
      <c r="D121" s="5">
        <f t="shared" si="15"/>
        <v>30.602737874320088</v>
      </c>
    </row>
    <row r="122" spans="1:4" x14ac:dyDescent="0.25">
      <c r="A122">
        <v>34</v>
      </c>
      <c r="B122" s="5">
        <f t="shared" si="14"/>
        <v>50118.723362727258</v>
      </c>
      <c r="C122" s="5">
        <f t="shared" si="16"/>
        <v>12.764303466695031</v>
      </c>
      <c r="D122" s="5">
        <f t="shared" si="15"/>
        <v>33.070207320890312</v>
      </c>
    </row>
    <row r="123" spans="1:4" x14ac:dyDescent="0.25">
      <c r="A123">
        <v>35</v>
      </c>
      <c r="B123" s="5">
        <f t="shared" si="14"/>
        <v>56234.132519034916</v>
      </c>
      <c r="C123" s="5">
        <f t="shared" si="16"/>
        <v>11.199524797656181</v>
      </c>
      <c r="D123" s="5">
        <f t="shared" si="15"/>
        <v>35.514440628823998</v>
      </c>
    </row>
    <row r="124" spans="1:4" x14ac:dyDescent="0.25">
      <c r="A124">
        <v>36</v>
      </c>
      <c r="B124" s="5">
        <f t="shared" si="14"/>
        <v>63095.734448019306</v>
      </c>
      <c r="C124" s="5">
        <f t="shared" si="16"/>
        <v>9.6909257854955619</v>
      </c>
      <c r="D124" s="5">
        <f t="shared" si="15"/>
        <v>37.883028135506173</v>
      </c>
    </row>
    <row r="125" spans="1:4" x14ac:dyDescent="0.25">
      <c r="A125">
        <v>37</v>
      </c>
      <c r="B125" s="5">
        <f t="shared" si="14"/>
        <v>70794.578438413868</v>
      </c>
      <c r="C125" s="5">
        <f t="shared" si="16"/>
        <v>8.2383404278736307</v>
      </c>
      <c r="D125" s="5">
        <f t="shared" si="15"/>
        <v>40.120800636076211</v>
      </c>
    </row>
    <row r="126" spans="1:4" x14ac:dyDescent="0.25">
      <c r="A126">
        <v>38</v>
      </c>
      <c r="B126" s="5">
        <f t="shared" si="14"/>
        <v>79432.823472428194</v>
      </c>
      <c r="C126" s="5">
        <f t="shared" si="16"/>
        <v>6.8400522322659754</v>
      </c>
      <c r="D126" s="5">
        <f t="shared" si="15"/>
        <v>42.172531904426918</v>
      </c>
    </row>
    <row r="127" spans="1:4" x14ac:dyDescent="0.25">
      <c r="A127">
        <v>39</v>
      </c>
      <c r="B127" s="5">
        <f t="shared" si="14"/>
        <v>89125.093813374639</v>
      </c>
      <c r="C127" s="5">
        <f t="shared" si="16"/>
        <v>5.4929183682287777</v>
      </c>
      <c r="D127" s="5">
        <f t="shared" si="15"/>
        <v>43.985458688808244</v>
      </c>
    </row>
    <row r="128" spans="1:4" x14ac:dyDescent="0.25">
      <c r="A128">
        <v>40</v>
      </c>
      <c r="B128" s="5">
        <f t="shared" si="14"/>
        <v>100000</v>
      </c>
      <c r="C128" s="5">
        <f t="shared" si="16"/>
        <v>4.1926111616058712</v>
      </c>
      <c r="D128" s="5">
        <f t="shared" si="15"/>
        <v>45.51124793729506</v>
      </c>
    </row>
    <row r="129" spans="1:4" x14ac:dyDescent="0.25">
      <c r="A129">
        <v>41</v>
      </c>
      <c r="B129" s="5">
        <f t="shared" si="14"/>
        <v>112201.84543019635</v>
      </c>
      <c r="C129" s="5">
        <f t="shared" si="16"/>
        <v>2.9339260947156394</v>
      </c>
      <c r="D129" s="5">
        <f t="shared" si="15"/>
        <v>46.707192473838347</v>
      </c>
    </row>
    <row r="130" spans="1:4" x14ac:dyDescent="0.25">
      <c r="A130">
        <v>42</v>
      </c>
      <c r="B130" s="5">
        <f t="shared" si="14"/>
        <v>125892.54117941677</v>
      </c>
      <c r="C130" s="5">
        <f t="shared" si="16"/>
        <v>1.711099839230251</v>
      </c>
      <c r="D130" s="5">
        <f t="shared" si="15"/>
        <v>47.5366060919552</v>
      </c>
    </row>
    <row r="131" spans="1:4" x14ac:dyDescent="0.25">
      <c r="A131">
        <v>43</v>
      </c>
      <c r="B131" s="5">
        <f t="shared" si="14"/>
        <v>141253.75446227542</v>
      </c>
      <c r="C131" s="5">
        <f t="shared" si="16"/>
        <v>0.51809069632615234</v>
      </c>
      <c r="D131" s="5">
        <f t="shared" si="15"/>
        <v>47.968553667390495</v>
      </c>
    </row>
    <row r="132" spans="1:4" x14ac:dyDescent="0.25">
      <c r="A132">
        <v>44</v>
      </c>
      <c r="B132" s="5">
        <f t="shared" si="14"/>
        <v>158489.31924611152</v>
      </c>
      <c r="C132" s="5">
        <f t="shared" si="16"/>
        <v>-0.65120885888641011</v>
      </c>
      <c r="D132" s="5">
        <f t="shared" si="15"/>
        <v>47.977152219913719</v>
      </c>
    </row>
    <row r="133" spans="1:4" x14ac:dyDescent="0.25">
      <c r="A133">
        <v>45</v>
      </c>
      <c r="B133" s="5">
        <f t="shared" si="14"/>
        <v>177827.94100389243</v>
      </c>
      <c r="C133" s="5">
        <f t="shared" si="16"/>
        <v>-1.8028390506569383</v>
      </c>
      <c r="D133" s="5">
        <f t="shared" si="15"/>
        <v>47.54070906327383</v>
      </c>
    </row>
    <row r="134" spans="1:4" x14ac:dyDescent="0.25">
      <c r="A134">
        <v>46</v>
      </c>
      <c r="B134" s="5">
        <f t="shared" si="14"/>
        <v>199526.23149688818</v>
      </c>
      <c r="C134" s="5">
        <f t="shared" si="16"/>
        <v>-2.9427153206538885</v>
      </c>
      <c r="D134" s="5">
        <f t="shared" si="15"/>
        <v>46.640941381332752</v>
      </c>
    </row>
    <row r="135" spans="1:4" x14ac:dyDescent="0.25">
      <c r="A135">
        <v>47</v>
      </c>
      <c r="B135" s="5">
        <f t="shared" si="14"/>
        <v>223872.11385683392</v>
      </c>
      <c r="C135" s="5">
        <f t="shared" si="16"/>
        <v>-4.0766327744172246</v>
      </c>
      <c r="D135" s="5">
        <f t="shared" si="15"/>
        <v>45.262473306157631</v>
      </c>
    </row>
    <row r="136" spans="1:4" x14ac:dyDescent="0.25">
      <c r="A136">
        <v>48</v>
      </c>
      <c r="B136" s="5">
        <f t="shared" si="14"/>
        <v>251188.64315095806</v>
      </c>
      <c r="C136" s="5">
        <f t="shared" si="16"/>
        <v>-5.2103137039107921</v>
      </c>
      <c r="D136" s="5">
        <f t="shared" si="15"/>
        <v>43.392751927100569</v>
      </c>
    </row>
    <row r="137" spans="1:4" x14ac:dyDescent="0.25">
      <c r="A137">
        <v>49</v>
      </c>
      <c r="B137" s="5">
        <f t="shared" si="14"/>
        <v>281838.29312644555</v>
      </c>
      <c r="C137" s="5">
        <f t="shared" si="16"/>
        <v>-6.3494773440346988</v>
      </c>
      <c r="D137" s="5">
        <f t="shared" si="15"/>
        <v>41.022471755159472</v>
      </c>
    </row>
    <row r="138" spans="1:4" x14ac:dyDescent="0.25">
      <c r="A138">
        <v>50</v>
      </c>
      <c r="B138" s="5">
        <f t="shared" si="14"/>
        <v>316227.76601683826</v>
      </c>
      <c r="C138" s="5">
        <f t="shared" si="16"/>
        <v>-7.4999105158006891</v>
      </c>
      <c r="D138" s="5">
        <f t="shared" si="15"/>
        <v>38.146546673655017</v>
      </c>
    </row>
    <row r="139" spans="1:4" x14ac:dyDescent="0.25">
      <c r="A139">
        <v>51</v>
      </c>
      <c r="B139" s="5">
        <f t="shared" si="14"/>
        <v>354813.38923357567</v>
      </c>
      <c r="C139" s="5">
        <f t="shared" si="16"/>
        <v>-8.6675177962709657</v>
      </c>
      <c r="D139" s="5">
        <f t="shared" si="15"/>
        <v>34.76561112810343</v>
      </c>
    </row>
    <row r="140" spans="1:4" x14ac:dyDescent="0.25">
      <c r="A140">
        <v>52</v>
      </c>
      <c r="B140" s="5">
        <f t="shared" si="14"/>
        <v>398107.17055349762</v>
      </c>
      <c r="C140" s="5">
        <f t="shared" si="16"/>
        <v>-9.8583302940509334</v>
      </c>
      <c r="D140" s="5">
        <f t="shared" si="15"/>
        <v>30.887958121178947</v>
      </c>
    </row>
    <row r="141" spans="1:4" x14ac:dyDescent="0.25">
      <c r="A141">
        <v>53</v>
      </c>
      <c r="B141" s="5">
        <f t="shared" si="14"/>
        <v>446683.59215096373</v>
      </c>
      <c r="C141" s="5">
        <f t="shared" si="16"/>
        <v>-11.078453918826936</v>
      </c>
      <c r="D141" s="5">
        <f t="shared" si="15"/>
        <v>26.531724421032983</v>
      </c>
    </row>
    <row r="142" spans="1:4" x14ac:dyDescent="0.25">
      <c r="A142">
        <v>54</v>
      </c>
      <c r="B142" s="5">
        <f t="shared" si="14"/>
        <v>501187.23362727271</v>
      </c>
      <c r="C142" s="5">
        <f t="shared" si="16"/>
        <v>-12.33394283931066</v>
      </c>
      <c r="D142" s="5">
        <f t="shared" si="15"/>
        <v>21.727018313831437</v>
      </c>
    </row>
    <row r="143" spans="1:4" x14ac:dyDescent="0.25">
      <c r="A143">
        <v>55</v>
      </c>
      <c r="B143" s="5">
        <f t="shared" si="14"/>
        <v>562341.32519034925</v>
      </c>
      <c r="C143" s="5">
        <f t="shared" si="16"/>
        <v>-13.63059332420443</v>
      </c>
      <c r="D143" s="5">
        <f t="shared" si="15"/>
        <v>16.517575054687978</v>
      </c>
    </row>
    <row r="144" spans="1:4" x14ac:dyDescent="0.25">
      <c r="A144">
        <v>56</v>
      </c>
      <c r="B144" s="5">
        <f t="shared" si="14"/>
        <v>630957.3444801938</v>
      </c>
      <c r="C144" s="5">
        <f t="shared" si="16"/>
        <v>-14.973668042573232</v>
      </c>
      <c r="D144" s="5">
        <f t="shared" si="15"/>
        <v>10.961462450104056</v>
      </c>
    </row>
    <row r="145" spans="1:4" x14ac:dyDescent="0.25">
      <c r="A145">
        <v>57</v>
      </c>
      <c r="B145" s="5">
        <f t="shared" si="14"/>
        <v>707945.78438413749</v>
      </c>
      <c r="C145" s="5">
        <f t="shared" si="16"/>
        <v>-16.367579538549293</v>
      </c>
      <c r="D145" s="5">
        <f t="shared" si="15"/>
        <v>5.1303968917855238</v>
      </c>
    </row>
    <row r="146" spans="1:4" x14ac:dyDescent="0.25">
      <c r="A146">
        <v>58</v>
      </c>
      <c r="B146" s="5">
        <f t="shared" si="14"/>
        <v>794328.23472428205</v>
      </c>
      <c r="C146" s="5">
        <f t="shared" si="16"/>
        <v>-17.815579291890501</v>
      </c>
      <c r="D146" s="5">
        <f t="shared" si="15"/>
        <v>-0.89259165218257064</v>
      </c>
    </row>
    <row r="147" spans="1:4" x14ac:dyDescent="0.25">
      <c r="A147">
        <v>59</v>
      </c>
      <c r="B147" s="5">
        <f t="shared" si="14"/>
        <v>891250.9381337458</v>
      </c>
      <c r="C147" s="5">
        <f t="shared" si="16"/>
        <v>-19.319508594707784</v>
      </c>
      <c r="D147" s="5">
        <f t="shared" si="15"/>
        <v>-7.0170950016882365</v>
      </c>
    </row>
    <row r="148" spans="1:4" x14ac:dyDescent="0.25">
      <c r="A148">
        <v>60</v>
      </c>
      <c r="B148" s="5">
        <f t="shared" si="14"/>
        <v>1000000</v>
      </c>
      <c r="C148" s="5">
        <f t="shared" si="16"/>
        <v>-20.879663169716732</v>
      </c>
      <c r="D148" s="5">
        <f t="shared" si="15"/>
        <v>-13.150438653907054</v>
      </c>
    </row>
    <row r="149" spans="1:4" x14ac:dyDescent="0.25">
      <c r="A149">
        <v>61</v>
      </c>
      <c r="B149" s="5">
        <f t="shared" si="14"/>
        <v>1122018.4543019636</v>
      </c>
      <c r="C149" s="5">
        <f t="shared" si="16"/>
        <v>-22.494803374481862</v>
      </c>
      <c r="D149" s="5">
        <f t="shared" si="15"/>
        <v>-19.203237062519111</v>
      </c>
    </row>
    <row r="150" spans="1:4" x14ac:dyDescent="0.25">
      <c r="A150">
        <v>62</v>
      </c>
      <c r="B150" s="5">
        <f t="shared" si="14"/>
        <v>1258925.4117941679</v>
      </c>
      <c r="C150" s="5">
        <f t="shared" si="16"/>
        <v>-24.162311163016387</v>
      </c>
      <c r="D150" s="5">
        <f t="shared" si="15"/>
        <v>-25.094535062158531</v>
      </c>
    </row>
    <row r="151" spans="1:4" x14ac:dyDescent="0.25">
      <c r="A151">
        <v>63</v>
      </c>
      <c r="B151" s="5">
        <f t="shared" si="14"/>
        <v>1412537.5446227544</v>
      </c>
      <c r="C151" s="5">
        <f t="shared" si="16"/>
        <v>-25.878464068982716</v>
      </c>
      <c r="D151" s="5">
        <f t="shared" si="15"/>
        <v>-30.755791110070302</v>
      </c>
    </row>
    <row r="152" spans="1:4" x14ac:dyDescent="0.25">
      <c r="A152">
        <v>64</v>
      </c>
      <c r="B152" s="5">
        <f t="shared" si="14"/>
        <v>1584893.1924611155</v>
      </c>
      <c r="C152" s="5">
        <f t="shared" ref="C152:C183" si="17">20*LOG10(C$65*C$62/C$73/(C$80+C$81)/(2*PI()*B152)^2*SQRT((2*PI()*B152/C$74)^2+1)/(SQRT((2*PI()*B152/C$75)^2+1)))</f>
        <v>-27.638775800324687</v>
      </c>
      <c r="D152" s="5">
        <f t="shared" si="15"/>
        <v>-36.133259713606819</v>
      </c>
    </row>
    <row r="153" spans="1:4" x14ac:dyDescent="0.25">
      <c r="A153">
        <v>65</v>
      </c>
      <c r="B153" s="5">
        <f t="shared" ref="B153:B188" si="18">$B$85*10^(A153/100*(LOG10($B$86/$B$85)))</f>
        <v>1778279.4100389243</v>
      </c>
      <c r="C153" s="5">
        <f t="shared" si="17"/>
        <v>-29.438348023300659</v>
      </c>
      <c r="D153" s="5">
        <f t="shared" ref="D153:D188" si="19">180/PI()*(ATAN(2*PI()*B153/C$74)-ATAN(2*PI()*B153/C$75)-ATAN(2*PI()*B153/C$76))</f>
        <v>-41.188700955079753</v>
      </c>
    </row>
    <row r="154" spans="1:4" x14ac:dyDescent="0.25">
      <c r="A154">
        <v>66</v>
      </c>
      <c r="B154" s="5">
        <f t="shared" si="18"/>
        <v>1995262.3149688824</v>
      </c>
      <c r="C154" s="5">
        <f t="shared" si="17"/>
        <v>-31.272187126268875</v>
      </c>
      <c r="D154" s="5">
        <f t="shared" si="19"/>
        <v>-45.89865834947858</v>
      </c>
    </row>
    <row r="155" spans="1:4" x14ac:dyDescent="0.25">
      <c r="A155">
        <v>67</v>
      </c>
      <c r="B155" s="5">
        <f t="shared" si="18"/>
        <v>2238721.1385683417</v>
      </c>
      <c r="C155" s="5">
        <f t="shared" si="17"/>
        <v>-33.135456998181368</v>
      </c>
      <c r="D155" s="5">
        <f t="shared" si="19"/>
        <v>-50.252726636274197</v>
      </c>
    </row>
    <row r="156" spans="1:4" x14ac:dyDescent="0.25">
      <c r="A156">
        <v>68</v>
      </c>
      <c r="B156" s="5">
        <f t="shared" si="18"/>
        <v>2511886.4315095833</v>
      </c>
      <c r="C156" s="5">
        <f t="shared" si="17"/>
        <v>-35.023657078311949</v>
      </c>
      <c r="D156" s="5">
        <f t="shared" si="19"/>
        <v>-54.25126984406792</v>
      </c>
    </row>
    <row r="157" spans="1:4" x14ac:dyDescent="0.25">
      <c r="A157">
        <v>69</v>
      </c>
      <c r="B157" s="5">
        <f t="shared" si="18"/>
        <v>2818382.9312644536</v>
      </c>
      <c r="C157" s="5">
        <f t="shared" si="17"/>
        <v>-36.932729212651878</v>
      </c>
      <c r="D157" s="5">
        <f t="shared" si="19"/>
        <v>-57.902985858073436</v>
      </c>
    </row>
    <row r="158" spans="1:4" x14ac:dyDescent="0.25">
      <c r="A158">
        <v>70</v>
      </c>
      <c r="B158" s="5">
        <f t="shared" si="18"/>
        <v>3162277.6601683805</v>
      </c>
      <c r="C158" s="5">
        <f t="shared" si="17"/>
        <v>-38.859105329543027</v>
      </c>
      <c r="D158" s="5">
        <f t="shared" si="19"/>
        <v>-61.22260062631981</v>
      </c>
    </row>
    <row r="159" spans="1:4" x14ac:dyDescent="0.25">
      <c r="A159">
        <v>71</v>
      </c>
      <c r="B159" s="5">
        <f t="shared" si="18"/>
        <v>3548133.8923357539</v>
      </c>
      <c r="C159" s="5">
        <f t="shared" si="17"/>
        <v>-40.799711127663095</v>
      </c>
      <c r="D159" s="5">
        <f t="shared" si="19"/>
        <v>-64.228857599103108</v>
      </c>
    </row>
    <row r="160" spans="1:4" x14ac:dyDescent="0.25">
      <c r="A160">
        <v>72</v>
      </c>
      <c r="B160" s="5">
        <f t="shared" si="18"/>
        <v>3981071.7055349699</v>
      </c>
      <c r="C160" s="5">
        <f t="shared" si="17"/>
        <v>-42.751940475533985</v>
      </c>
      <c r="D160" s="5">
        <f t="shared" si="19"/>
        <v>-66.942871734890502</v>
      </c>
    </row>
    <row r="161" spans="1:4" x14ac:dyDescent="0.25">
      <c r="A161">
        <v>73</v>
      </c>
      <c r="B161" s="5">
        <f t="shared" si="18"/>
        <v>4466835.9215096347</v>
      </c>
      <c r="C161" s="5">
        <f t="shared" si="17"/>
        <v>-44.713612781755145</v>
      </c>
      <c r="D161" s="5">
        <f t="shared" si="19"/>
        <v>-69.386851084896477</v>
      </c>
    </row>
    <row r="162" spans="1:4" x14ac:dyDescent="0.25">
      <c r="A162">
        <v>74</v>
      </c>
      <c r="B162" s="5">
        <f t="shared" si="18"/>
        <v>5011872.3362727324</v>
      </c>
      <c r="C162" s="5">
        <f t="shared" si="17"/>
        <v>-46.682922527270136</v>
      </c>
      <c r="D162" s="5">
        <f t="shared" si="19"/>
        <v>-71.583150495894671</v>
      </c>
    </row>
    <row r="163" spans="1:4" x14ac:dyDescent="0.25">
      <c r="A163">
        <v>75</v>
      </c>
      <c r="B163" s="5">
        <f t="shared" si="18"/>
        <v>5623413.2519034995</v>
      </c>
      <c r="C163" s="5">
        <f t="shared" si="17"/>
        <v>-48.658387247988315</v>
      </c>
      <c r="D163" s="5">
        <f t="shared" si="19"/>
        <v>-73.553604618115926</v>
      </c>
    </row>
    <row r="164" spans="1:4" x14ac:dyDescent="0.25">
      <c r="A164">
        <v>76</v>
      </c>
      <c r="B164" s="5">
        <f t="shared" si="18"/>
        <v>6309573.4448019387</v>
      </c>
      <c r="C164" s="5">
        <f t="shared" si="17"/>
        <v>-50.638797880431056</v>
      </c>
      <c r="D164" s="5">
        <f t="shared" si="19"/>
        <v>-75.319083828060258</v>
      </c>
    </row>
    <row r="165" spans="1:4" x14ac:dyDescent="0.25">
      <c r="A165">
        <v>77</v>
      </c>
      <c r="B165" s="5">
        <f t="shared" si="18"/>
        <v>7079457.8438413832</v>
      </c>
      <c r="C165" s="5">
        <f t="shared" si="17"/>
        <v>-52.623173619813187</v>
      </c>
      <c r="D165" s="5">
        <f t="shared" si="19"/>
        <v>-76.899220831932666</v>
      </c>
    </row>
    <row r="166" spans="1:4" x14ac:dyDescent="0.25">
      <c r="A166">
        <v>78</v>
      </c>
      <c r="B166" s="5">
        <f t="shared" si="18"/>
        <v>7943282.3472428303</v>
      </c>
      <c r="C166" s="5">
        <f t="shared" si="17"/>
        <v>-54.610722229859391</v>
      </c>
      <c r="D166" s="5">
        <f t="shared" si="19"/>
        <v>-78.312263374963507</v>
      </c>
    </row>
    <row r="167" spans="1:4" x14ac:dyDescent="0.25">
      <c r="A167">
        <v>79</v>
      </c>
      <c r="B167" s="5">
        <f t="shared" si="18"/>
        <v>8912509.3813374676</v>
      </c>
      <c r="C167" s="5">
        <f t="shared" si="17"/>
        <v>-56.600805972650136</v>
      </c>
      <c r="D167" s="5">
        <f t="shared" si="19"/>
        <v>-79.575017039192645</v>
      </c>
    </row>
    <row r="168" spans="1:4" x14ac:dyDescent="0.25">
      <c r="A168">
        <v>80</v>
      </c>
      <c r="B168" s="5">
        <f t="shared" si="18"/>
        <v>10000000</v>
      </c>
      <c r="C168" s="5">
        <f t="shared" si="17"/>
        <v>-58.592912875841492</v>
      </c>
      <c r="D168" s="5">
        <f t="shared" si="19"/>
        <v>-80.702850161150039</v>
      </c>
    </row>
    <row r="169" spans="1:4" x14ac:dyDescent="0.25">
      <c r="A169">
        <v>81</v>
      </c>
      <c r="B169" s="5">
        <f t="shared" si="18"/>
        <v>11220184.54301966</v>
      </c>
      <c r="C169" s="5">
        <f t="shared" si="17"/>
        <v>-60.586632821923359</v>
      </c>
      <c r="D169" s="5">
        <f t="shared" si="19"/>
        <v>-81.709739816628272</v>
      </c>
    </row>
    <row r="170" spans="1:4" x14ac:dyDescent="0.25">
      <c r="A170">
        <v>82</v>
      </c>
      <c r="B170" s="5">
        <f t="shared" si="18"/>
        <v>12589254.117941672</v>
      </c>
      <c r="C170" s="5">
        <f t="shared" si="17"/>
        <v>-62.58163785165835</v>
      </c>
      <c r="D170" s="5">
        <f t="shared" si="19"/>
        <v>-82.608343435043949</v>
      </c>
    </row>
    <row r="171" spans="1:4" x14ac:dyDescent="0.25">
      <c r="A171">
        <v>83</v>
      </c>
      <c r="B171" s="5">
        <f t="shared" si="18"/>
        <v>14125375.446227536</v>
      </c>
      <c r="C171" s="5">
        <f t="shared" si="17"/>
        <v>-64.577666065692924</v>
      </c>
      <c r="D171" s="5">
        <f t="shared" si="19"/>
        <v>-83.410084990615275</v>
      </c>
    </row>
    <row r="172" spans="1:4" x14ac:dyDescent="0.25">
      <c r="A172">
        <v>84</v>
      </c>
      <c r="B172" s="5">
        <f t="shared" si="18"/>
        <v>15848931.924611146</v>
      </c>
      <c r="C172" s="5">
        <f t="shared" si="17"/>
        <v>-66.574508546870518</v>
      </c>
      <c r="D172" s="5">
        <f t="shared" si="19"/>
        <v>-84.125248043844508</v>
      </c>
    </row>
    <row r="173" spans="1:4" x14ac:dyDescent="0.25">
      <c r="A173">
        <v>85</v>
      </c>
      <c r="B173" s="5">
        <f t="shared" si="18"/>
        <v>17782794.100389235</v>
      </c>
      <c r="C173" s="5">
        <f t="shared" si="17"/>
        <v>-68.571998786789663</v>
      </c>
      <c r="D173" s="5">
        <f t="shared" si="19"/>
        <v>-84.763070373379435</v>
      </c>
    </row>
    <row r="174" spans="1:4" x14ac:dyDescent="0.25">
      <c r="A174">
        <v>86</v>
      </c>
      <c r="B174" s="5">
        <f t="shared" si="18"/>
        <v>19952623.149688791</v>
      </c>
      <c r="C174" s="5">
        <f t="shared" si="17"/>
        <v>-70.570004168828618</v>
      </c>
      <c r="D174" s="5">
        <f t="shared" si="19"/>
        <v>-85.33183673291478</v>
      </c>
    </row>
    <row r="175" spans="1:4" x14ac:dyDescent="0.25">
      <c r="A175">
        <v>87</v>
      </c>
      <c r="B175" s="5">
        <f t="shared" si="18"/>
        <v>22387211.385683384</v>
      </c>
      <c r="C175" s="5">
        <f t="shared" si="17"/>
        <v>-72.568419127705127</v>
      </c>
      <c r="D175" s="5">
        <f t="shared" si="19"/>
        <v>-85.838967551297856</v>
      </c>
    </row>
    <row r="176" spans="1:4" x14ac:dyDescent="0.25">
      <c r="A176">
        <v>88</v>
      </c>
      <c r="B176" s="5">
        <f t="shared" si="18"/>
        <v>25118864.315095861</v>
      </c>
      <c r="C176" s="5">
        <f t="shared" si="17"/>
        <v>-74.567159668196524</v>
      </c>
      <c r="D176" s="5">
        <f t="shared" si="19"/>
        <v>-86.291102296756861</v>
      </c>
    </row>
    <row r="177" spans="1:4" x14ac:dyDescent="0.25">
      <c r="A177">
        <v>89</v>
      </c>
      <c r="B177" s="5">
        <f t="shared" si="18"/>
        <v>28183829.312644593</v>
      </c>
      <c r="C177" s="5">
        <f t="shared" si="17"/>
        <v>-76.566158980941111</v>
      </c>
      <c r="D177" s="5">
        <f t="shared" si="19"/>
        <v>-86.694176849900728</v>
      </c>
    </row>
    <row r="178" spans="1:4" x14ac:dyDescent="0.25">
      <c r="A178">
        <v>90</v>
      </c>
      <c r="B178" s="5">
        <f t="shared" si="18"/>
        <v>31622776.60168384</v>
      </c>
      <c r="C178" s="5">
        <f t="shared" si="17"/>
        <v>-78.565363940775455</v>
      </c>
      <c r="D178" s="5">
        <f t="shared" si="19"/>
        <v>-87.053494652199717</v>
      </c>
    </row>
    <row r="179" spans="1:4" x14ac:dyDescent="0.25">
      <c r="A179">
        <v>91</v>
      </c>
      <c r="B179" s="5">
        <f t="shared" si="18"/>
        <v>35481338.923357584</v>
      </c>
      <c r="C179" s="5">
        <f t="shared" si="17"/>
        <v>-80.564732313130477</v>
      </c>
      <c r="D179" s="5">
        <f t="shared" si="19"/>
        <v>-87.373791674738314</v>
      </c>
    </row>
    <row r="180" spans="1:4" x14ac:dyDescent="0.25">
      <c r="A180">
        <v>92</v>
      </c>
      <c r="B180" s="5">
        <f t="shared" si="18"/>
        <v>39810717.055349812</v>
      </c>
      <c r="C180" s="5">
        <f t="shared" si="17"/>
        <v>-82.564230527318244</v>
      </c>
      <c r="D180" s="5">
        <f t="shared" si="19"/>
        <v>-87.659295428550806</v>
      </c>
    </row>
    <row r="181" spans="1:4" x14ac:dyDescent="0.25">
      <c r="A181">
        <v>93</v>
      </c>
      <c r="B181" s="5">
        <f t="shared" si="18"/>
        <v>44668359.215096392</v>
      </c>
      <c r="C181" s="5">
        <f t="shared" si="17"/>
        <v>-84.563831902938418</v>
      </c>
      <c r="D181" s="5">
        <f t="shared" si="19"/>
        <v>-87.913778343597642</v>
      </c>
    </row>
    <row r="182" spans="1:4" x14ac:dyDescent="0.25">
      <c r="A182">
        <v>94</v>
      </c>
      <c r="B182" s="5">
        <f t="shared" si="18"/>
        <v>50118723.36272721</v>
      </c>
      <c r="C182" s="5">
        <f t="shared" si="17"/>
        <v>-86.563515237996441</v>
      </c>
      <c r="D182" s="5">
        <f t="shared" si="19"/>
        <v>-88.140605900571785</v>
      </c>
    </row>
    <row r="183" spans="1:4" x14ac:dyDescent="0.25">
      <c r="A183">
        <v>95</v>
      </c>
      <c r="B183" s="5">
        <f t="shared" si="18"/>
        <v>56234132.519034952</v>
      </c>
      <c r="C183" s="5">
        <f t="shared" si="17"/>
        <v>-88.563263685468996</v>
      </c>
      <c r="D183" s="5">
        <f t="shared" si="19"/>
        <v>-88.342779924014991</v>
      </c>
    </row>
    <row r="184" spans="1:4" x14ac:dyDescent="0.25">
      <c r="A184">
        <v>96</v>
      </c>
      <c r="B184" s="5">
        <f t="shared" si="18"/>
        <v>63095734.448019341</v>
      </c>
      <c r="C184" s="5">
        <f t="shared" ref="C184:C188" si="20">20*LOG10(C$65*C$62/C$73/(C$80+C$81)/(2*PI()*B184)^2*SQRT((2*PI()*B184/C$74)^2+1)/(SQRT((2*PI()*B184/C$75)^2+1)))</f>
        <v>-90.563063859704158</v>
      </c>
      <c r="D184" s="5">
        <f t="shared" si="19"/>
        <v>-88.522977447831536</v>
      </c>
    </row>
    <row r="185" spans="1:4" x14ac:dyDescent="0.25">
      <c r="A185">
        <v>97</v>
      </c>
      <c r="B185" s="5">
        <f t="shared" si="18"/>
        <v>70794578.438413784</v>
      </c>
      <c r="C185" s="5">
        <f t="shared" si="20"/>
        <v>-92.562905125837943</v>
      </c>
      <c r="D185" s="5">
        <f t="shared" si="19"/>
        <v>-88.683585553017778</v>
      </c>
    </row>
    <row r="186" spans="1:4" x14ac:dyDescent="0.25">
      <c r="A186">
        <v>98</v>
      </c>
      <c r="B186" s="5">
        <f t="shared" si="18"/>
        <v>79432823.472428232</v>
      </c>
      <c r="C186" s="5">
        <f t="shared" si="20"/>
        <v>-94.562779034869465</v>
      </c>
      <c r="D186" s="5">
        <f t="shared" si="19"/>
        <v>-88.826732557696403</v>
      </c>
    </row>
    <row r="187" spans="1:4" x14ac:dyDescent="0.25">
      <c r="A187">
        <v>99</v>
      </c>
      <c r="B187" s="5">
        <f t="shared" si="18"/>
        <v>89125093.813374609</v>
      </c>
      <c r="C187" s="5">
        <f t="shared" si="20"/>
        <v>-96.562678874617518</v>
      </c>
      <c r="D187" s="5">
        <f t="shared" si="19"/>
        <v>-88.954315915071206</v>
      </c>
    </row>
    <row r="188" spans="1:4" x14ac:dyDescent="0.25">
      <c r="A188">
        <v>100</v>
      </c>
      <c r="B188" s="5">
        <f t="shared" si="18"/>
        <v>100000000</v>
      </c>
      <c r="C188" s="5">
        <f t="shared" si="20"/>
        <v>-98.562599312838444</v>
      </c>
      <c r="D188" s="5">
        <f t="shared" si="19"/>
        <v>-89.068027148205687</v>
      </c>
    </row>
  </sheetData>
  <dataValidations count="2">
    <dataValidation type="list" allowBlank="1" showInputMessage="1" showErrorMessage="1" sqref="C16:E16">
      <formula1>$B$68:$B$69</formula1>
    </dataValidation>
    <dataValidation type="list" allowBlank="1" showInputMessage="1" showErrorMessage="1" sqref="C17:E17">
      <formula1>$B$70:$B$72</formula1>
    </dataValidation>
  </dataValidations>
  <pageMargins left="0.7" right="0.7" top="0.75" bottom="0.75" header="0.3" footer="0.3"/>
  <pageSetup orientation="portrait" r:id="rId1"/>
  <ignoredErrors>
    <ignoredError sqref="C42:E4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zoomScale="80" zoomScaleNormal="80" workbookViewId="0">
      <selection activeCell="D103" sqref="D103"/>
    </sheetView>
  </sheetViews>
  <sheetFormatPr defaultRowHeight="15" x14ac:dyDescent="0.25"/>
  <cols>
    <col min="1" max="1" width="13.140625" customWidth="1"/>
    <col min="2" max="3" width="13.28515625" customWidth="1"/>
    <col min="4" max="4" width="14.42578125" customWidth="1"/>
    <col min="5" max="5" width="13.7109375" customWidth="1"/>
    <col min="6" max="6" width="13.28515625" customWidth="1"/>
    <col min="7" max="7" width="14.85546875" customWidth="1"/>
    <col min="8" max="8" width="14" customWidth="1"/>
    <col min="9" max="9" width="13.28515625" customWidth="1"/>
    <col min="10" max="13" width="13" bestFit="1" customWidth="1"/>
  </cols>
  <sheetData>
    <row r="1" spans="1:10" x14ac:dyDescent="0.25">
      <c r="C1" s="20" t="s">
        <v>180</v>
      </c>
      <c r="I1" s="94"/>
    </row>
    <row r="2" spans="1:10" x14ac:dyDescent="0.25">
      <c r="C2" s="20" t="s">
        <v>0</v>
      </c>
    </row>
    <row r="3" spans="1:10" x14ac:dyDescent="0.25">
      <c r="C3" s="95" t="s">
        <v>151</v>
      </c>
    </row>
    <row r="4" spans="1:10" x14ac:dyDescent="0.25">
      <c r="C4" s="95"/>
    </row>
    <row r="5" spans="1:10" ht="15.75" thickBot="1" x14ac:dyDescent="0.3">
      <c r="B5" s="13" t="s">
        <v>86</v>
      </c>
      <c r="C5" s="13">
        <v>1</v>
      </c>
      <c r="D5" s="13">
        <v>2</v>
      </c>
      <c r="E5" s="13">
        <v>3</v>
      </c>
      <c r="F5" s="13">
        <v>4</v>
      </c>
      <c r="G5" s="13">
        <v>5</v>
      </c>
      <c r="H5" s="13">
        <v>6</v>
      </c>
      <c r="I5" s="13">
        <v>7</v>
      </c>
      <c r="J5" s="13">
        <v>8</v>
      </c>
    </row>
    <row r="6" spans="1:10" ht="45.75" thickBot="1" x14ac:dyDescent="0.3">
      <c r="A6" s="34" t="s">
        <v>85</v>
      </c>
      <c r="B6" s="35" t="s">
        <v>87</v>
      </c>
      <c r="C6" s="35" t="s">
        <v>74</v>
      </c>
      <c r="D6" s="35" t="s">
        <v>75</v>
      </c>
      <c r="E6" s="35" t="s">
        <v>76</v>
      </c>
      <c r="F6" s="35" t="s">
        <v>77</v>
      </c>
      <c r="G6" s="35" t="s">
        <v>78</v>
      </c>
      <c r="H6" s="35" t="s">
        <v>79</v>
      </c>
      <c r="I6" s="35" t="s">
        <v>80</v>
      </c>
      <c r="J6" s="35" t="s">
        <v>82</v>
      </c>
    </row>
    <row r="7" spans="1:10" x14ac:dyDescent="0.25">
      <c r="A7" s="23" t="s">
        <v>36</v>
      </c>
      <c r="B7" s="24" t="s">
        <v>12</v>
      </c>
      <c r="C7" s="25">
        <v>150000</v>
      </c>
      <c r="D7" s="25">
        <v>200000</v>
      </c>
      <c r="E7" s="25">
        <v>500000</v>
      </c>
      <c r="F7" s="25">
        <v>200000</v>
      </c>
      <c r="G7" s="25">
        <v>500000</v>
      </c>
      <c r="H7" s="25">
        <v>500000</v>
      </c>
      <c r="I7" s="25">
        <v>300000</v>
      </c>
      <c r="J7" s="25">
        <v>300000</v>
      </c>
    </row>
    <row r="8" spans="1:10" x14ac:dyDescent="0.25">
      <c r="A8" s="31" t="s">
        <v>35</v>
      </c>
      <c r="B8" s="21" t="s">
        <v>27</v>
      </c>
      <c r="C8" s="27">
        <v>45</v>
      </c>
      <c r="D8" s="27">
        <v>45</v>
      </c>
      <c r="E8" s="27">
        <v>45</v>
      </c>
      <c r="F8" s="27">
        <v>45</v>
      </c>
      <c r="G8" s="27">
        <v>45</v>
      </c>
      <c r="H8" s="27">
        <v>45</v>
      </c>
      <c r="I8" s="27">
        <v>45</v>
      </c>
      <c r="J8" s="27">
        <v>45</v>
      </c>
    </row>
    <row r="9" spans="1:10" x14ac:dyDescent="0.25">
      <c r="A9" s="26" t="s">
        <v>6</v>
      </c>
      <c r="B9" s="21" t="s">
        <v>12</v>
      </c>
      <c r="C9" s="28">
        <v>50000000</v>
      </c>
      <c r="D9" s="28">
        <v>50000000</v>
      </c>
      <c r="E9" s="28">
        <v>50000000</v>
      </c>
      <c r="F9" s="28">
        <v>50000000</v>
      </c>
      <c r="G9" s="28">
        <v>33000000</v>
      </c>
      <c r="H9" s="28">
        <v>33000000</v>
      </c>
      <c r="I9" s="28">
        <v>33300000</v>
      </c>
      <c r="J9" s="28">
        <v>50000000</v>
      </c>
    </row>
    <row r="10" spans="1:10" x14ac:dyDescent="0.25">
      <c r="A10" s="26" t="s">
        <v>10</v>
      </c>
      <c r="B10" s="21" t="s">
        <v>12</v>
      </c>
      <c r="C10" s="29">
        <v>2900000000</v>
      </c>
      <c r="D10" s="29">
        <v>3250000000</v>
      </c>
      <c r="E10" s="29">
        <v>3250000000</v>
      </c>
      <c r="F10" s="29">
        <v>900000000</v>
      </c>
      <c r="G10" s="29">
        <v>5000000000</v>
      </c>
      <c r="H10" s="29">
        <v>800000000</v>
      </c>
      <c r="I10" s="29">
        <v>3900000000</v>
      </c>
      <c r="J10" s="29">
        <v>3900000000</v>
      </c>
    </row>
    <row r="11" spans="1:10" x14ac:dyDescent="0.25">
      <c r="A11" s="26" t="s">
        <v>11</v>
      </c>
      <c r="B11" s="21" t="s">
        <v>12</v>
      </c>
      <c r="C11" s="29">
        <v>3100000000</v>
      </c>
      <c r="D11" s="29">
        <v>4100000000</v>
      </c>
      <c r="E11" s="29">
        <v>4100000000</v>
      </c>
      <c r="F11" s="29">
        <v>900000000</v>
      </c>
      <c r="G11" s="29">
        <v>5000000000</v>
      </c>
      <c r="H11" s="29">
        <v>800000000</v>
      </c>
      <c r="I11" s="29">
        <v>4100000000</v>
      </c>
      <c r="J11" s="29">
        <v>4100000000</v>
      </c>
    </row>
    <row r="12" spans="1:10" x14ac:dyDescent="0.25">
      <c r="A12" s="26" t="s">
        <v>23</v>
      </c>
      <c r="B12" s="21" t="s">
        <v>24</v>
      </c>
      <c r="C12" s="28">
        <v>28000000</v>
      </c>
      <c r="D12" s="28">
        <v>70000000</v>
      </c>
      <c r="E12" s="28">
        <v>70000000</v>
      </c>
      <c r="F12" s="28">
        <v>51000000</v>
      </c>
      <c r="G12" s="28">
        <v>36000000</v>
      </c>
      <c r="H12" s="28">
        <v>46000000</v>
      </c>
      <c r="I12" s="28">
        <v>22000000</v>
      </c>
      <c r="J12" s="28">
        <v>22000000</v>
      </c>
    </row>
    <row r="13" spans="1:10" x14ac:dyDescent="0.25">
      <c r="A13" s="26" t="s">
        <v>7</v>
      </c>
      <c r="B13" s="21" t="s">
        <v>13</v>
      </c>
      <c r="C13" s="28">
        <v>2.5000000000000001E-3</v>
      </c>
      <c r="D13" s="28">
        <v>2.5000000000000001E-3</v>
      </c>
      <c r="E13" s="28">
        <v>2.5000000000000001E-3</v>
      </c>
      <c r="F13" s="28">
        <v>2.5000000000000001E-3</v>
      </c>
      <c r="G13" s="28">
        <v>2.5000000000000001E-3</v>
      </c>
      <c r="H13" s="28">
        <v>2.5000000000000001E-3</v>
      </c>
      <c r="I13" s="28">
        <v>2.5000000000000001E-3</v>
      </c>
      <c r="J13" s="28">
        <v>2.5000000000000001E-3</v>
      </c>
    </row>
    <row r="14" spans="1:10" x14ac:dyDescent="0.25">
      <c r="A14" s="26" t="s">
        <v>8</v>
      </c>
      <c r="B14" s="21" t="s">
        <v>13</v>
      </c>
      <c r="C14" s="114">
        <f>(C13*(3*2/(C10+C11)+0.0000000005))*C9</f>
        <v>1.8750000000000003E-4</v>
      </c>
      <c r="D14" s="114">
        <f t="shared" ref="D14:J14" si="0">(D13*(3*2/(D10+D11)+0.0000000005))*D9</f>
        <v>1.6454081632653062E-4</v>
      </c>
      <c r="E14" s="114">
        <f t="shared" si="0"/>
        <v>1.6454081632653062E-4</v>
      </c>
      <c r="F14" s="114">
        <f t="shared" si="0"/>
        <v>4.7916666666666669E-4</v>
      </c>
      <c r="G14" s="114">
        <f t="shared" si="0"/>
        <v>9.0749999999999997E-5</v>
      </c>
      <c r="H14" s="114">
        <f t="shared" si="0"/>
        <v>3.5062500000000003E-4</v>
      </c>
      <c r="I14" s="114">
        <f t="shared" si="0"/>
        <v>1.040625E-4</v>
      </c>
      <c r="J14" s="114">
        <f t="shared" si="0"/>
        <v>1.5625E-4</v>
      </c>
    </row>
    <row r="15" spans="1:10" x14ac:dyDescent="0.25">
      <c r="A15" s="26" t="s">
        <v>9</v>
      </c>
      <c r="B15" s="21" t="s">
        <v>14</v>
      </c>
      <c r="C15" s="28">
        <v>2.7</v>
      </c>
      <c r="D15" s="28">
        <v>2.7</v>
      </c>
      <c r="E15" s="28">
        <v>2.7</v>
      </c>
      <c r="F15" s="28">
        <v>2.7</v>
      </c>
      <c r="G15" s="28">
        <v>2.7</v>
      </c>
      <c r="H15" s="28">
        <v>2.7</v>
      </c>
      <c r="I15" s="28">
        <v>2.7</v>
      </c>
      <c r="J15" s="28">
        <v>2.7</v>
      </c>
    </row>
    <row r="16" spans="1:10" x14ac:dyDescent="0.25">
      <c r="A16" s="26" t="s">
        <v>73</v>
      </c>
      <c r="B16" s="21" t="s">
        <v>16</v>
      </c>
      <c r="C16" s="28">
        <v>9.9999999999999994E-12</v>
      </c>
      <c r="D16" s="28">
        <v>9.9999999999999994E-12</v>
      </c>
      <c r="E16" s="28">
        <v>9.9999999999999994E-12</v>
      </c>
      <c r="F16" s="28">
        <v>9.9999999999999994E-12</v>
      </c>
      <c r="G16" s="28">
        <v>9.9999999999999994E-12</v>
      </c>
      <c r="H16" s="28">
        <v>9.9999999999999994E-12</v>
      </c>
      <c r="I16" s="28">
        <v>9.9999999999999994E-12</v>
      </c>
      <c r="J16" s="28">
        <v>9.9999999999999994E-12</v>
      </c>
    </row>
    <row r="17" spans="1:10" x14ac:dyDescent="0.25">
      <c r="A17" s="26" t="s">
        <v>164</v>
      </c>
      <c r="B17" s="21"/>
      <c r="C17" s="101" t="s">
        <v>165</v>
      </c>
      <c r="D17" s="101" t="s">
        <v>165</v>
      </c>
      <c r="E17" s="101" t="s">
        <v>165</v>
      </c>
      <c r="F17" s="101" t="s">
        <v>165</v>
      </c>
      <c r="G17" s="101" t="s">
        <v>165</v>
      </c>
      <c r="H17" s="101" t="s">
        <v>165</v>
      </c>
      <c r="I17" s="101" t="s">
        <v>165</v>
      </c>
      <c r="J17" s="101" t="s">
        <v>165</v>
      </c>
    </row>
    <row r="18" spans="1:10" ht="15.75" thickBot="1" x14ac:dyDescent="0.3">
      <c r="A18" s="98" t="s">
        <v>162</v>
      </c>
      <c r="B18" s="30"/>
      <c r="C18" s="102" t="s">
        <v>160</v>
      </c>
      <c r="D18" s="102" t="s">
        <v>160</v>
      </c>
      <c r="E18" s="102" t="s">
        <v>177</v>
      </c>
      <c r="F18" s="102" t="s">
        <v>160</v>
      </c>
      <c r="G18" s="102" t="s">
        <v>160</v>
      </c>
      <c r="H18" s="102" t="s">
        <v>160</v>
      </c>
      <c r="I18" s="102" t="s">
        <v>160</v>
      </c>
      <c r="J18" s="102" t="s">
        <v>160</v>
      </c>
    </row>
    <row r="19" spans="1:10" hidden="1" x14ac:dyDescent="0.25">
      <c r="A19" s="7" t="s">
        <v>22</v>
      </c>
      <c r="B19" s="4" t="s">
        <v>15</v>
      </c>
      <c r="C19" s="9">
        <f t="shared" ref="C19:J19" si="1">C15/2/C14</f>
        <v>7199.9999999999991</v>
      </c>
      <c r="D19" s="9">
        <f t="shared" si="1"/>
        <v>8204.6511627906984</v>
      </c>
      <c r="E19" s="9">
        <f t="shared" si="1"/>
        <v>8204.6511627906984</v>
      </c>
      <c r="F19" s="9">
        <f t="shared" si="1"/>
        <v>2817.391304347826</v>
      </c>
      <c r="G19" s="9">
        <f t="shared" si="1"/>
        <v>14876.03305785124</v>
      </c>
      <c r="H19" s="9">
        <f t="shared" si="1"/>
        <v>3850.2673796791441</v>
      </c>
      <c r="I19" s="9">
        <f t="shared" si="1"/>
        <v>12972.972972972973</v>
      </c>
      <c r="J19" s="9">
        <f t="shared" si="1"/>
        <v>8640</v>
      </c>
    </row>
    <row r="20" spans="1:10" hidden="1" x14ac:dyDescent="0.25">
      <c r="A20" s="7" t="s">
        <v>192</v>
      </c>
      <c r="B20" s="4" t="s">
        <v>15</v>
      </c>
      <c r="C20" s="9">
        <f t="shared" ref="C20" si="2">1/C31/C21</f>
        <v>879.95268853079847</v>
      </c>
      <c r="D20" s="9">
        <f t="shared" ref="D20" si="3">1/D31/D21</f>
        <v>574.90242317345508</v>
      </c>
      <c r="E20" s="9">
        <f t="shared" ref="E20:J20" si="4">1/E31/E21</f>
        <v>1437.256057933638</v>
      </c>
      <c r="F20" s="9">
        <f t="shared" si="4"/>
        <v>193.24451199107733</v>
      </c>
      <c r="G20" s="9">
        <f t="shared" si="4"/>
        <v>5761.0071265577908</v>
      </c>
      <c r="H20" s="9">
        <f t="shared" si="4"/>
        <v>721.37828367332338</v>
      </c>
      <c r="I20" s="9">
        <f t="shared" si="4"/>
        <v>4484.2433849963336</v>
      </c>
      <c r="J20" s="9">
        <f t="shared" si="4"/>
        <v>2986.506094407559</v>
      </c>
    </row>
    <row r="21" spans="1:10" hidden="1" x14ac:dyDescent="0.25">
      <c r="A21" s="7" t="s">
        <v>187</v>
      </c>
      <c r="B21" s="4" t="s">
        <v>16</v>
      </c>
      <c r="C21" s="9">
        <f t="shared" ref="C21" si="5">C40-C22</f>
        <v>4.8231363698314683E-9</v>
      </c>
      <c r="D21" s="9">
        <f t="shared" ref="D21" si="6">D40-D22</f>
        <v>5.5367636898575524E-9</v>
      </c>
      <c r="E21" s="9">
        <f t="shared" ref="E21:J21" si="7">E40-E22</f>
        <v>8.8588219037720819E-10</v>
      </c>
      <c r="F21" s="9">
        <f t="shared" si="7"/>
        <v>1.6471871977326217E-8</v>
      </c>
      <c r="G21" s="9">
        <f t="shared" si="7"/>
        <v>2.2100988885530592E-10</v>
      </c>
      <c r="H21" s="9">
        <f t="shared" si="7"/>
        <v>1.7650095290527906E-9</v>
      </c>
      <c r="I21" s="9">
        <f t="shared" si="7"/>
        <v>4.7322719257212507E-10</v>
      </c>
      <c r="J21" s="9">
        <f t="shared" si="7"/>
        <v>7.1055134019838579E-10</v>
      </c>
    </row>
    <row r="22" spans="1:10" hidden="1" x14ac:dyDescent="0.25">
      <c r="A22" s="7" t="s">
        <v>191</v>
      </c>
      <c r="B22" s="4" t="s">
        <v>16</v>
      </c>
      <c r="C22" s="9">
        <f t="shared" ref="C22" si="8">C40/C36/C35</f>
        <v>2.3642825342311123E-10</v>
      </c>
      <c r="D22" s="9">
        <f t="shared" ref="D22:E22" si="9">D40/D36/D35</f>
        <v>2.7140998479693882E-10</v>
      </c>
      <c r="E22" s="9">
        <f t="shared" si="9"/>
        <v>4.342559756751021E-11</v>
      </c>
      <c r="F22" s="9">
        <f t="shared" ref="F22:J22" si="10">F40/F36/F35</f>
        <v>8.0744470477089302E-10</v>
      </c>
      <c r="G22" s="9">
        <f t="shared" si="10"/>
        <v>1.0833818081142449E-11</v>
      </c>
      <c r="H22" s="9">
        <f t="shared" si="10"/>
        <v>8.6520074953568168E-11</v>
      </c>
      <c r="I22" s="9">
        <f t="shared" si="10"/>
        <v>2.3197411400594365E-11</v>
      </c>
      <c r="J22" s="9">
        <f t="shared" si="10"/>
        <v>3.4830948048940485E-11</v>
      </c>
    </row>
    <row r="23" spans="1:10" hidden="1" x14ac:dyDescent="0.25">
      <c r="A23" s="7" t="s">
        <v>185</v>
      </c>
      <c r="B23" s="4" t="s">
        <v>15</v>
      </c>
      <c r="C23" s="9">
        <f t="shared" ref="C23" si="11">1/C33/C24</f>
        <v>554.04428537124329</v>
      </c>
      <c r="D23" s="9">
        <f t="shared" ref="D23" si="12">1/D33/D24</f>
        <v>361.97559977587912</v>
      </c>
      <c r="E23" s="9">
        <f t="shared" ref="E23:J23" si="13">1/E33/E24</f>
        <v>904.9389994396978</v>
      </c>
      <c r="F23" s="9">
        <f t="shared" si="13"/>
        <v>121.67247051290055</v>
      </c>
      <c r="G23" s="9">
        <f t="shared" si="13"/>
        <v>3627.3007833882384</v>
      </c>
      <c r="H23" s="9">
        <f t="shared" si="13"/>
        <v>454.20114157209247</v>
      </c>
      <c r="I23" s="9">
        <f t="shared" si="13"/>
        <v>2823.4125016643584</v>
      </c>
      <c r="J23" s="9">
        <f t="shared" si="13"/>
        <v>1880.3927261084627</v>
      </c>
    </row>
    <row r="24" spans="1:10" hidden="1" x14ac:dyDescent="0.25">
      <c r="A24" s="7" t="s">
        <v>184</v>
      </c>
      <c r="B24" s="4" t="s">
        <v>16</v>
      </c>
      <c r="C24" s="9">
        <f t="shared" ref="C24" si="14">C22</f>
        <v>2.3642825342311123E-10</v>
      </c>
      <c r="D24" s="9">
        <f t="shared" ref="D24:J24" si="15">D22</f>
        <v>2.7140998479693882E-10</v>
      </c>
      <c r="E24" s="9">
        <f t="shared" si="15"/>
        <v>4.342559756751021E-11</v>
      </c>
      <c r="F24" s="9">
        <f t="shared" si="15"/>
        <v>8.0744470477089302E-10</v>
      </c>
      <c r="G24" s="9">
        <f t="shared" si="15"/>
        <v>1.0833818081142449E-11</v>
      </c>
      <c r="H24" s="9">
        <f t="shared" si="15"/>
        <v>8.6520074953568168E-11</v>
      </c>
      <c r="I24" s="9">
        <f t="shared" si="15"/>
        <v>2.3197411400594365E-11</v>
      </c>
      <c r="J24" s="9">
        <f t="shared" si="15"/>
        <v>3.4830948048940485E-11</v>
      </c>
    </row>
    <row r="25" spans="1:10" hidden="1" x14ac:dyDescent="0.25">
      <c r="A25" s="7" t="s">
        <v>190</v>
      </c>
      <c r="B25" s="4" t="s">
        <v>15</v>
      </c>
      <c r="C25" s="9">
        <f t="shared" ref="C25" si="16">C23</f>
        <v>554.04428537124329</v>
      </c>
      <c r="D25" s="9">
        <f t="shared" ref="D25:J25" si="17">D23</f>
        <v>361.97559977587912</v>
      </c>
      <c r="E25" s="9">
        <f t="shared" si="17"/>
        <v>904.9389994396978</v>
      </c>
      <c r="F25" s="9">
        <f t="shared" si="17"/>
        <v>121.67247051290055</v>
      </c>
      <c r="G25" s="9">
        <f t="shared" si="17"/>
        <v>3627.3007833882384</v>
      </c>
      <c r="H25" s="9">
        <f t="shared" si="17"/>
        <v>454.20114157209247</v>
      </c>
      <c r="I25" s="9">
        <f t="shared" si="17"/>
        <v>2823.4125016643584</v>
      </c>
      <c r="J25" s="9">
        <f t="shared" si="17"/>
        <v>1880.3927261084627</v>
      </c>
    </row>
    <row r="26" spans="1:10" hidden="1" x14ac:dyDescent="0.25">
      <c r="A26" s="7" t="s">
        <v>189</v>
      </c>
      <c r="B26" s="4" t="s">
        <v>16</v>
      </c>
      <c r="C26" s="9">
        <f t="shared" ref="C26:J26" si="18">C24-C16</f>
        <v>2.2642825342311124E-10</v>
      </c>
      <c r="D26" s="9">
        <f t="shared" si="18"/>
        <v>2.6140998479693881E-10</v>
      </c>
      <c r="E26" s="9">
        <f t="shared" si="18"/>
        <v>3.3425597567510213E-11</v>
      </c>
      <c r="F26" s="9">
        <f t="shared" si="18"/>
        <v>7.9744470477089306E-10</v>
      </c>
      <c r="G26" s="9">
        <f t="shared" si="18"/>
        <v>8.3381808114244923E-13</v>
      </c>
      <c r="H26" s="9">
        <f t="shared" si="18"/>
        <v>7.6520074953568164E-11</v>
      </c>
      <c r="I26" s="9">
        <f t="shared" si="18"/>
        <v>1.3197411400594365E-11</v>
      </c>
      <c r="J26" s="9">
        <f t="shared" si="18"/>
        <v>2.4830948048940488E-11</v>
      </c>
    </row>
    <row r="27" spans="1:10" ht="17.25" hidden="1" x14ac:dyDescent="0.25">
      <c r="A27" s="7" t="s">
        <v>178</v>
      </c>
      <c r="B27" s="110" t="s">
        <v>168</v>
      </c>
      <c r="C27" s="112" t="str">
        <f>IF(C7&lt;=150000,"-226.5",IF(AND(C7&gt;150000,C7&lt;=200000),"-228",IF(AND(C7&gt;200000,C7&lt;=400000),"-229.5",IF(C7&gt;400000,"-230"))))</f>
        <v>-226.5</v>
      </c>
      <c r="D27" s="112" t="str">
        <f t="shared" ref="D27:J27" si="19">IF(D7&lt;=150000,"-226.5",IF(AND(D7&gt;150000,D7&lt;=200000),"-228",IF(AND(D7&gt;200000,D7&lt;=400000),"-229.5",IF(D7&gt;400000,"-230"))))</f>
        <v>-228</v>
      </c>
      <c r="E27" s="112" t="str">
        <f t="shared" si="19"/>
        <v>-230</v>
      </c>
      <c r="F27" s="112" t="str">
        <f t="shared" si="19"/>
        <v>-228</v>
      </c>
      <c r="G27" s="112" t="str">
        <f t="shared" si="19"/>
        <v>-230</v>
      </c>
      <c r="H27" s="112" t="str">
        <f t="shared" si="19"/>
        <v>-230</v>
      </c>
      <c r="I27" s="112" t="str">
        <f t="shared" si="19"/>
        <v>-229.5</v>
      </c>
      <c r="J27" s="112" t="str">
        <f t="shared" si="19"/>
        <v>-229.5</v>
      </c>
    </row>
    <row r="28" spans="1:10" ht="17.25" hidden="1" x14ac:dyDescent="0.25">
      <c r="A28" s="10" t="s">
        <v>167</v>
      </c>
      <c r="B28" s="111" t="s">
        <v>168</v>
      </c>
      <c r="C28" s="109" t="str">
        <f>IF(AND(C17="5|6",C18="INT-N"),"-230",IF(AND(C17="10|11",C18="INT-N"),"-228",IF(AND(C17="5|6",C18&lt;&gt;"INT-N"),C27,IF(AND(C17="10|11",C18&lt;&gt;"INT-N"),C27+2))))</f>
        <v>-226.5</v>
      </c>
      <c r="D28" s="109" t="str">
        <f t="shared" ref="D28:J28" si="20">IF(AND(D17="5|6",D18="INT-N"),"-230",IF(AND(D17="10|11",D18="INT-N"),"-228",IF(AND(D17="5|6",D18&lt;&gt;"INT-N"),D27,IF(AND(D17="10|11",D18&lt;&gt;"INT-N"),D27+2))))</f>
        <v>-228</v>
      </c>
      <c r="E28" s="109" t="str">
        <f t="shared" si="20"/>
        <v>-230</v>
      </c>
      <c r="F28" s="109" t="str">
        <f t="shared" si="20"/>
        <v>-228</v>
      </c>
      <c r="G28" s="109" t="str">
        <f t="shared" si="20"/>
        <v>-230</v>
      </c>
      <c r="H28" s="109" t="str">
        <f t="shared" si="20"/>
        <v>-230</v>
      </c>
      <c r="I28" s="109" t="str">
        <f t="shared" si="20"/>
        <v>-229.5</v>
      </c>
      <c r="J28" s="109" t="str">
        <f t="shared" si="20"/>
        <v>-229.5</v>
      </c>
    </row>
    <row r="29" spans="1:10" hidden="1" x14ac:dyDescent="0.25">
      <c r="A29" s="7" t="s">
        <v>26</v>
      </c>
      <c r="B29" s="4" t="s">
        <v>12</v>
      </c>
      <c r="C29" s="5">
        <f t="shared" ref="C29:J29" si="21">AVERAGE(C10:C11)</f>
        <v>3000000000</v>
      </c>
      <c r="D29" s="5">
        <f t="shared" si="21"/>
        <v>3675000000</v>
      </c>
      <c r="E29" s="5">
        <f t="shared" si="21"/>
        <v>3675000000</v>
      </c>
      <c r="F29" s="5">
        <f t="shared" si="21"/>
        <v>900000000</v>
      </c>
      <c r="G29" s="5">
        <f t="shared" si="21"/>
        <v>5000000000</v>
      </c>
      <c r="H29" s="5">
        <f t="shared" si="21"/>
        <v>800000000</v>
      </c>
      <c r="I29" s="5">
        <f t="shared" si="21"/>
        <v>4000000000</v>
      </c>
      <c r="J29" s="5">
        <f t="shared" si="21"/>
        <v>4000000000</v>
      </c>
    </row>
    <row r="30" spans="1:10" hidden="1" x14ac:dyDescent="0.25">
      <c r="A30" s="7" t="s">
        <v>21</v>
      </c>
      <c r="B30" s="4" t="s">
        <v>25</v>
      </c>
      <c r="C30" s="5">
        <f t="shared" ref="C30:J30" si="22">2*PI()*C7</f>
        <v>942477.79607693793</v>
      </c>
      <c r="D30" s="5">
        <f t="shared" si="22"/>
        <v>1256637.0614359172</v>
      </c>
      <c r="E30" s="5">
        <f t="shared" si="22"/>
        <v>3141592.653589793</v>
      </c>
      <c r="F30" s="5">
        <f t="shared" si="22"/>
        <v>1256637.0614359172</v>
      </c>
      <c r="G30" s="5">
        <f t="shared" si="22"/>
        <v>3141592.653589793</v>
      </c>
      <c r="H30" s="5">
        <f t="shared" si="22"/>
        <v>3141592.653589793</v>
      </c>
      <c r="I30" s="5">
        <f t="shared" si="22"/>
        <v>1884955.5921538759</v>
      </c>
      <c r="J30" s="5">
        <f t="shared" si="22"/>
        <v>1884955.5921538759</v>
      </c>
    </row>
    <row r="31" spans="1:10" hidden="1" x14ac:dyDescent="0.25">
      <c r="A31" s="7" t="s">
        <v>20</v>
      </c>
      <c r="B31" s="4" t="s">
        <v>25</v>
      </c>
      <c r="C31" s="5">
        <f t="shared" ref="C31" si="23">C30/C35</f>
        <v>235619.44901923448</v>
      </c>
      <c r="D31" s="5">
        <f t="shared" ref="D31" si="24">D30/D35</f>
        <v>314159.26535897929</v>
      </c>
      <c r="E31" s="5">
        <f t="shared" ref="E31:J31" si="25">E30/E35</f>
        <v>785398.16339744825</v>
      </c>
      <c r="F31" s="5">
        <f t="shared" si="25"/>
        <v>314159.26535897929</v>
      </c>
      <c r="G31" s="5">
        <f t="shared" si="25"/>
        <v>785398.16339744825</v>
      </c>
      <c r="H31" s="5">
        <f t="shared" si="25"/>
        <v>785398.16339744825</v>
      </c>
      <c r="I31" s="5">
        <f t="shared" si="25"/>
        <v>471238.89803846896</v>
      </c>
      <c r="J31" s="5">
        <f t="shared" si="25"/>
        <v>471238.89803846896</v>
      </c>
    </row>
    <row r="32" spans="1:10" hidden="1" x14ac:dyDescent="0.25">
      <c r="A32" s="7" t="s">
        <v>18</v>
      </c>
      <c r="B32" s="4" t="s">
        <v>25</v>
      </c>
      <c r="C32" s="5">
        <f t="shared" ref="C32" si="26">C36*C30</f>
        <v>5042256.2090116171</v>
      </c>
      <c r="D32" s="5">
        <f t="shared" ref="D32:E32" si="27">D36*D30</f>
        <v>6723008.2786821565</v>
      </c>
      <c r="E32" s="5">
        <f t="shared" si="27"/>
        <v>16807520.69670539</v>
      </c>
      <c r="F32" s="5">
        <f t="shared" ref="F32:J32" si="28">F36*F30</f>
        <v>6723008.2786821565</v>
      </c>
      <c r="G32" s="5">
        <f t="shared" si="28"/>
        <v>16807520.69670539</v>
      </c>
      <c r="H32" s="5">
        <f t="shared" si="28"/>
        <v>16807520.69670539</v>
      </c>
      <c r="I32" s="5">
        <f t="shared" si="28"/>
        <v>10084512.418023234</v>
      </c>
      <c r="J32" s="5">
        <f t="shared" si="28"/>
        <v>10084512.418023234</v>
      </c>
    </row>
    <row r="33" spans="1:10" hidden="1" x14ac:dyDescent="0.25">
      <c r="A33" s="7" t="s">
        <v>19</v>
      </c>
      <c r="B33" s="4" t="s">
        <v>25</v>
      </c>
      <c r="C33" s="5">
        <f t="shared" ref="C33" si="29">C37*C30</f>
        <v>7634070.1482231971</v>
      </c>
      <c r="D33" s="5">
        <f t="shared" ref="D33:E33" si="30">D37*D30</f>
        <v>10178760.197630929</v>
      </c>
      <c r="E33" s="5">
        <f t="shared" si="30"/>
        <v>25446900.494077321</v>
      </c>
      <c r="F33" s="5">
        <f t="shared" ref="F33:J33" si="31">F37*F30</f>
        <v>10178760.197630929</v>
      </c>
      <c r="G33" s="5">
        <f t="shared" si="31"/>
        <v>25446900.494077321</v>
      </c>
      <c r="H33" s="5">
        <f t="shared" si="31"/>
        <v>25446900.494077321</v>
      </c>
      <c r="I33" s="5">
        <f t="shared" si="31"/>
        <v>15268140.296446394</v>
      </c>
      <c r="J33" s="5">
        <f t="shared" si="31"/>
        <v>15268140.296446394</v>
      </c>
    </row>
    <row r="34" spans="1:10" hidden="1" x14ac:dyDescent="0.25">
      <c r="A34" s="7" t="s">
        <v>30</v>
      </c>
      <c r="C34" s="6">
        <f t="shared" ref="C34:J34" si="32">C29/C9</f>
        <v>60</v>
      </c>
      <c r="D34" s="6">
        <f t="shared" si="32"/>
        <v>73.5</v>
      </c>
      <c r="E34" s="6">
        <f t="shared" si="32"/>
        <v>73.5</v>
      </c>
      <c r="F34" s="6">
        <f t="shared" si="32"/>
        <v>18</v>
      </c>
      <c r="G34" s="6">
        <f t="shared" si="32"/>
        <v>151.5151515151515</v>
      </c>
      <c r="H34" s="6">
        <f t="shared" si="32"/>
        <v>24.242424242424242</v>
      </c>
      <c r="I34" s="6">
        <f t="shared" si="32"/>
        <v>120.12012012012012</v>
      </c>
      <c r="J34" s="6">
        <f t="shared" si="32"/>
        <v>80</v>
      </c>
    </row>
    <row r="35" spans="1:10" hidden="1" x14ac:dyDescent="0.25">
      <c r="A35" s="7" t="s">
        <v>17</v>
      </c>
      <c r="B35" s="4"/>
      <c r="C35">
        <v>4</v>
      </c>
      <c r="D35">
        <v>4</v>
      </c>
      <c r="E35">
        <v>4</v>
      </c>
      <c r="F35">
        <v>4</v>
      </c>
      <c r="G35">
        <v>4</v>
      </c>
      <c r="H35">
        <v>4</v>
      </c>
      <c r="I35">
        <v>4</v>
      </c>
      <c r="J35">
        <v>4</v>
      </c>
    </row>
    <row r="36" spans="1:10" hidden="1" x14ac:dyDescent="0.25">
      <c r="A36" s="7" t="s">
        <v>28</v>
      </c>
      <c r="C36" s="8">
        <v>5.35</v>
      </c>
      <c r="D36" s="8">
        <v>5.35</v>
      </c>
      <c r="E36" s="8">
        <v>5.35</v>
      </c>
      <c r="F36" s="8">
        <v>5.35</v>
      </c>
      <c r="G36" s="8">
        <v>5.35</v>
      </c>
      <c r="H36" s="8">
        <v>5.35</v>
      </c>
      <c r="I36" s="8">
        <v>5.35</v>
      </c>
      <c r="J36" s="8">
        <v>5.35</v>
      </c>
    </row>
    <row r="37" spans="1:10" hidden="1" x14ac:dyDescent="0.25">
      <c r="A37" s="7" t="s">
        <v>52</v>
      </c>
      <c r="C37" s="8">
        <v>8.1</v>
      </c>
      <c r="D37" s="8">
        <v>8.1</v>
      </c>
      <c r="E37" s="8">
        <v>8.1</v>
      </c>
      <c r="F37" s="8">
        <v>8.1</v>
      </c>
      <c r="G37" s="8">
        <v>8.1</v>
      </c>
      <c r="H37" s="8">
        <v>8.1</v>
      </c>
      <c r="I37" s="8">
        <v>8.1</v>
      </c>
      <c r="J37" s="8">
        <v>8.1</v>
      </c>
    </row>
    <row r="38" spans="1:10" hidden="1" x14ac:dyDescent="0.25">
      <c r="A38" s="7" t="s">
        <v>53</v>
      </c>
      <c r="C38" s="8">
        <f t="shared" ref="C38:J38" si="33">1/3</f>
        <v>0.33333333333333331</v>
      </c>
      <c r="D38" s="8">
        <f t="shared" si="33"/>
        <v>0.33333333333333331</v>
      </c>
      <c r="E38" s="8">
        <f t="shared" si="33"/>
        <v>0.33333333333333331</v>
      </c>
      <c r="F38" s="8">
        <f t="shared" si="33"/>
        <v>0.33333333333333331</v>
      </c>
      <c r="G38" s="8">
        <f t="shared" si="33"/>
        <v>0.33333333333333331</v>
      </c>
      <c r="H38" s="8">
        <f t="shared" si="33"/>
        <v>0.33333333333333331</v>
      </c>
      <c r="I38" s="8">
        <f t="shared" si="33"/>
        <v>0.33333333333333331</v>
      </c>
      <c r="J38" s="8">
        <f t="shared" si="33"/>
        <v>0.33333333333333331</v>
      </c>
    </row>
    <row r="39" spans="1:10" hidden="1" x14ac:dyDescent="0.25">
      <c r="A39" s="7" t="s">
        <v>31</v>
      </c>
      <c r="C39">
        <f t="shared" ref="C39" si="34">C30^2/SQRT((C35^2+1)/((1/C36)^2+1)/((1-1/C37^2)^2+(1/C37/C38)^2))</f>
        <v>230586375219.81192</v>
      </c>
      <c r="D39">
        <f t="shared" ref="D39" si="35">D30^2/SQRT((D35^2+1)/((1/D36)^2+1)/((1-1/D37^2)^2+(1/D37/D38)^2))</f>
        <v>409931333724.11005</v>
      </c>
      <c r="E39">
        <f t="shared" ref="E39:J39" si="36">E30^2/SQRT((E35^2+1)/((1/E36)^2+1)/((1-1/E37^2)^2+(1/E37/E38)^2))</f>
        <v>2562070835775.688</v>
      </c>
      <c r="F39">
        <f t="shared" si="36"/>
        <v>409931333724.11005</v>
      </c>
      <c r="G39">
        <f t="shared" si="36"/>
        <v>2562070835775.688</v>
      </c>
      <c r="H39">
        <f t="shared" si="36"/>
        <v>2562070835775.688</v>
      </c>
      <c r="I39">
        <f t="shared" si="36"/>
        <v>922345500879.24768</v>
      </c>
      <c r="J39">
        <f t="shared" si="36"/>
        <v>922345500879.24768</v>
      </c>
    </row>
    <row r="40" spans="1:10" hidden="1" x14ac:dyDescent="0.25">
      <c r="A40" s="7" t="s">
        <v>32</v>
      </c>
      <c r="B40" s="4" t="s">
        <v>16</v>
      </c>
      <c r="C40" s="5">
        <f t="shared" ref="C40:J40" si="37">C13*C12/C34/C39</f>
        <v>5.0595646232545795E-9</v>
      </c>
      <c r="D40" s="5">
        <f t="shared" si="37"/>
        <v>5.8081736746544909E-9</v>
      </c>
      <c r="E40" s="5">
        <f t="shared" si="37"/>
        <v>9.2930778794471844E-10</v>
      </c>
      <c r="F40" s="5">
        <f t="shared" si="37"/>
        <v>1.727931668209711E-8</v>
      </c>
      <c r="G40" s="5">
        <f t="shared" si="37"/>
        <v>2.3184370693644838E-10</v>
      </c>
      <c r="H40" s="5">
        <f t="shared" si="37"/>
        <v>1.8515296040063587E-9</v>
      </c>
      <c r="I40" s="5">
        <f t="shared" si="37"/>
        <v>4.964246039727194E-10</v>
      </c>
      <c r="J40" s="5">
        <f t="shared" si="37"/>
        <v>7.4538228824732632E-10</v>
      </c>
    </row>
    <row r="41" spans="1:10" x14ac:dyDescent="0.25">
      <c r="A41" s="11" t="s">
        <v>88</v>
      </c>
    </row>
    <row r="42" spans="1:10" x14ac:dyDescent="0.25">
      <c r="A42" s="15" t="s">
        <v>22</v>
      </c>
      <c r="B42" s="4" t="s">
        <v>15</v>
      </c>
      <c r="C42" s="12">
        <f t="array" ref="C42">INDEX(StdRVal,MATCH(MIN(ABS(StdRVal-C19)),ABS(StdRVal-C19),0),1)</f>
        <v>7500</v>
      </c>
      <c r="D42" s="12">
        <f t="array" ref="D42">INDEX(StdRVal,MATCH(MIN(ABS(StdRVal-D19)),ABS(StdRVal-D19),0),1)</f>
        <v>8200</v>
      </c>
      <c r="E42" s="12">
        <f t="array" ref="E42">INDEX(StdRVal,MATCH(MIN(ABS(StdRVal-E19)),ABS(StdRVal-E19),0),1)</f>
        <v>8200</v>
      </c>
      <c r="F42" s="12">
        <f t="array" ref="F42">INDEX(StdRVal,MATCH(MIN(ABS(StdRVal-F19)),ABS(StdRVal-F19),0),1)</f>
        <v>2700</v>
      </c>
      <c r="G42" s="12">
        <f t="array" ref="G42">INDEX(StdRVal,MATCH(MIN(ABS(StdRVal-G19)),ABS(StdRVal-G19),0),1)</f>
        <v>15000</v>
      </c>
      <c r="H42" s="12">
        <f t="array" ref="H42">INDEX(StdRVal,MATCH(MIN(ABS(StdRVal-H19)),ABS(StdRVal-H19),0),1)</f>
        <v>3900</v>
      </c>
      <c r="I42" s="12">
        <f t="array" ref="I42">INDEX(StdRVal,MATCH(MIN(ABS(StdRVal-I19)),ABS(StdRVal-I19),0),1)</f>
        <v>13000</v>
      </c>
      <c r="J42" s="12">
        <f t="array" ref="J42">INDEX(StdRVal,MATCH(MIN(ABS(StdRVal-J19)),ABS(StdRVal-J19),0),1)</f>
        <v>8200</v>
      </c>
    </row>
    <row r="43" spans="1:10" x14ac:dyDescent="0.25">
      <c r="A43" s="15" t="s">
        <v>188</v>
      </c>
      <c r="B43" s="4" t="s">
        <v>15</v>
      </c>
      <c r="C43" s="12">
        <f t="array" ref="C43">INDEX(StdRVal,MATCH(MIN(ABS(StdRVal-C20)),ABS(StdRVal-C20),0),1)</f>
        <v>910</v>
      </c>
      <c r="D43" s="12">
        <f t="array" ref="D43">INDEX(StdRVal,MATCH(MIN(ABS(StdRVal-D20)),ABS(StdRVal-D20),0),1)</f>
        <v>560</v>
      </c>
      <c r="E43" s="12">
        <f t="array" ref="E43">INDEX(StdRVal,MATCH(MIN(ABS(StdRVal-E20)),ABS(StdRVal-E20),0),1)</f>
        <v>1500</v>
      </c>
      <c r="F43" s="12">
        <f t="array" ref="F43">INDEX(StdRVal,MATCH(MIN(ABS(StdRVal-F20)),ABS(StdRVal-F20),0),1)</f>
        <v>200</v>
      </c>
      <c r="G43" s="12">
        <f t="array" ref="G43">INDEX(StdRVal,MATCH(MIN(ABS(StdRVal-G20)),ABS(StdRVal-G20),0),1)</f>
        <v>5600</v>
      </c>
      <c r="H43" s="12">
        <f t="array" ref="H43">INDEX(StdRVal,MATCH(MIN(ABS(StdRVal-H20)),ABS(StdRVal-H20),0),1)</f>
        <v>750</v>
      </c>
      <c r="I43" s="12">
        <f t="array" ref="I43">INDEX(StdRVal,MATCH(MIN(ABS(StdRVal-I20)),ABS(StdRVal-I20),0),1)</f>
        <v>4300</v>
      </c>
      <c r="J43" s="12">
        <f t="array" ref="J43">INDEX(StdRVal,MATCH(MIN(ABS(StdRVal-J20)),ABS(StdRVal-J20),0),1)</f>
        <v>3000</v>
      </c>
    </row>
    <row r="44" spans="1:10" x14ac:dyDescent="0.25">
      <c r="A44" s="15" t="s">
        <v>187</v>
      </c>
      <c r="B44" s="4" t="s">
        <v>16</v>
      </c>
      <c r="C44" s="12">
        <f t="array" ref="C44">INDEX(StdCapVal,MATCH(MIN(ABS(StdCapVal-C21)),ABS(StdCapVal-C21),0),1)</f>
        <v>4.7000000000000007E-9</v>
      </c>
      <c r="D44" s="12">
        <f t="array" ref="D44">INDEX(StdCapVal,MATCH(MIN(ABS(StdCapVal-D21)),ABS(StdCapVal-D21),0),1)</f>
        <v>5.6000000000000005E-9</v>
      </c>
      <c r="E44" s="12">
        <f t="array" ref="E44">INDEX(StdCapVal,MATCH(MIN(ABS(StdCapVal-E21)),ABS(StdCapVal-E21),0),1)</f>
        <v>8.2000000000000006E-10</v>
      </c>
      <c r="F44" s="12">
        <f t="array" ref="F44">INDEX(StdCapVal,MATCH(MIN(ABS(StdCapVal-F21)),ABS(StdCapVal-F21),0),1)</f>
        <v>1.4999999999999999E-8</v>
      </c>
      <c r="G44" s="12">
        <f t="array" ref="G44">INDEX(StdCapVal,MATCH(MIN(ABS(StdCapVal-G21)),ABS(StdCapVal-G21),0),1)</f>
        <v>2.1999999999999999E-10</v>
      </c>
      <c r="H44" s="12">
        <f t="array" ref="H44">INDEX(StdCapVal,MATCH(MIN(ABS(StdCapVal-H21)),ABS(StdCapVal-H21),0),1)</f>
        <v>1.8E-9</v>
      </c>
      <c r="I44" s="12">
        <f t="array" ref="I44">INDEX(StdCapVal,MATCH(MIN(ABS(StdCapVal-I21)),ABS(StdCapVal-I21),0),1)</f>
        <v>4.7000000000000003E-10</v>
      </c>
      <c r="J44" s="12">
        <f t="array" ref="J44">INDEX(StdCapVal,MATCH(MIN(ABS(StdCapVal-J21)),ABS(StdCapVal-J21),0),1)</f>
        <v>6.7999999999999993E-10</v>
      </c>
    </row>
    <row r="45" spans="1:10" x14ac:dyDescent="0.25">
      <c r="A45" s="15" t="s">
        <v>186</v>
      </c>
      <c r="B45" s="4" t="s">
        <v>16</v>
      </c>
      <c r="C45" s="12">
        <f t="array" ref="C45">INDEX(StdCapVal,MATCH(MIN(ABS(StdCapVal-C22)),ABS(StdCapVal-C22),0),1)</f>
        <v>2.1999999999999999E-10</v>
      </c>
      <c r="D45" s="12">
        <f t="array" ref="D45">INDEX(StdCapVal,MATCH(MIN(ABS(StdCapVal-D22)),ABS(StdCapVal-D22),0),1)</f>
        <v>2.7E-10</v>
      </c>
      <c r="E45" s="12">
        <f t="array" ref="E45">INDEX(StdCapVal,MATCH(MIN(ABS(StdCapVal-E22)),ABS(StdCapVal-E22),0),1)</f>
        <v>4.6999999999999999E-11</v>
      </c>
      <c r="F45" s="12">
        <f t="array" ref="F45">INDEX(StdCapVal,MATCH(MIN(ABS(StdCapVal-F22)),ABS(StdCapVal-F22),0),1)</f>
        <v>8.2000000000000006E-10</v>
      </c>
      <c r="G45" s="12">
        <f t="array" ref="G45">INDEX(StdCapVal,MATCH(MIN(ABS(StdCapVal-G22)),ABS(StdCapVal-G22),0),1)</f>
        <v>9.9999999999999994E-12</v>
      </c>
      <c r="H45" s="12">
        <f t="array" ref="H45">INDEX(StdCapVal,MATCH(MIN(ABS(StdCapVal-H22)),ABS(StdCapVal-H22),0),1)</f>
        <v>8.2000000000000001E-11</v>
      </c>
      <c r="I45" s="12">
        <f t="array" ref="I45">INDEX(StdCapVal,MATCH(MIN(ABS(StdCapVal-I22)),ABS(StdCapVal-I22),0),1)</f>
        <v>2.1999999999999998E-11</v>
      </c>
      <c r="J45" s="12">
        <f t="array" ref="J45">INDEX(StdCapVal,MATCH(MIN(ABS(StdCapVal-J22)),ABS(StdCapVal-J22),0),1)</f>
        <v>3.3000000000000002E-11</v>
      </c>
    </row>
    <row r="46" spans="1:10" x14ac:dyDescent="0.25">
      <c r="A46" s="15" t="s">
        <v>185</v>
      </c>
      <c r="B46" s="4" t="s">
        <v>15</v>
      </c>
      <c r="C46" s="12">
        <f t="array" ref="C46">INDEX(StdRVal,MATCH(MIN(ABS(StdRVal-C23)),ABS(StdRVal-C23),0),1)</f>
        <v>560</v>
      </c>
      <c r="D46" s="12">
        <f t="array" ref="D46">INDEX(StdRVal,MATCH(MIN(ABS(StdRVal-D23)),ABS(StdRVal-D23),0),1)</f>
        <v>360</v>
      </c>
      <c r="E46" s="12">
        <f t="array" ref="E46">INDEX(StdRVal,MATCH(MIN(ABS(StdRVal-E23)),ABS(StdRVal-E23),0),1)</f>
        <v>910</v>
      </c>
      <c r="F46" s="12">
        <f t="array" ref="F46">INDEX(StdRVal,MATCH(MIN(ABS(StdRVal-F23)),ABS(StdRVal-F23),0),1)</f>
        <v>120</v>
      </c>
      <c r="G46" s="12">
        <f t="array" ref="G46">INDEX(StdRVal,MATCH(MIN(ABS(StdRVal-G23)),ABS(StdRVal-G23),0),1)</f>
        <v>3600</v>
      </c>
      <c r="H46" s="12">
        <f t="array" ref="H46">INDEX(StdRVal,MATCH(MIN(ABS(StdRVal-H23)),ABS(StdRVal-H23),0),1)</f>
        <v>470</v>
      </c>
      <c r="I46" s="12">
        <f t="array" ref="I46">INDEX(StdRVal,MATCH(MIN(ABS(StdRVal-I23)),ABS(StdRVal-I23),0),1)</f>
        <v>2700</v>
      </c>
      <c r="J46" s="12">
        <f t="array" ref="J46">INDEX(StdRVal,MATCH(MIN(ABS(StdRVal-J23)),ABS(StdRVal-J23),0),1)</f>
        <v>1800</v>
      </c>
    </row>
    <row r="47" spans="1:10" x14ac:dyDescent="0.25">
      <c r="A47" s="15" t="s">
        <v>184</v>
      </c>
      <c r="B47" s="4" t="s">
        <v>16</v>
      </c>
      <c r="C47" s="12">
        <f t="array" ref="C47">INDEX(StdCapVal,MATCH(MIN(ABS(StdCapVal-C24)),ABS(StdCapVal-C24),0),1)</f>
        <v>2.1999999999999999E-10</v>
      </c>
      <c r="D47" s="12">
        <f t="array" ref="D47">INDEX(StdCapVal,MATCH(MIN(ABS(StdCapVal-D24)),ABS(StdCapVal-D24),0),1)</f>
        <v>2.7E-10</v>
      </c>
      <c r="E47" s="12">
        <f t="array" ref="E47">INDEX(StdCapVal,MATCH(MIN(ABS(StdCapVal-E24)),ABS(StdCapVal-E24),0),1)</f>
        <v>4.6999999999999999E-11</v>
      </c>
      <c r="F47" s="12">
        <f t="array" ref="F47">INDEX(StdCapVal,MATCH(MIN(ABS(StdCapVal-F24)),ABS(StdCapVal-F24),0),1)</f>
        <v>8.2000000000000006E-10</v>
      </c>
      <c r="G47" s="12">
        <f t="array" ref="G47">INDEX(StdCapVal,MATCH(MIN(ABS(StdCapVal-G24)),ABS(StdCapVal-G24),0),1)</f>
        <v>9.9999999999999994E-12</v>
      </c>
      <c r="H47" s="12">
        <f t="array" ref="H47">INDEX(StdCapVal,MATCH(MIN(ABS(StdCapVal-H24)),ABS(StdCapVal-H24),0),1)</f>
        <v>8.2000000000000001E-11</v>
      </c>
      <c r="I47" s="12">
        <f t="array" ref="I47">INDEX(StdCapVal,MATCH(MIN(ABS(StdCapVal-I24)),ABS(StdCapVal-I24),0),1)</f>
        <v>2.1999999999999998E-11</v>
      </c>
      <c r="J47" s="12">
        <f t="array" ref="J47">INDEX(StdCapVal,MATCH(MIN(ABS(StdCapVal-J24)),ABS(StdCapVal-J24),0),1)</f>
        <v>3.3000000000000002E-11</v>
      </c>
    </row>
    <row r="48" spans="1:10" x14ac:dyDescent="0.25">
      <c r="A48" s="7" t="s">
        <v>190</v>
      </c>
      <c r="B48" s="4" t="s">
        <v>15</v>
      </c>
      <c r="C48" s="12">
        <f t="array" ref="C48">INDEX(StdRVal,MATCH(MIN(ABS(StdRVal-C25)),ABS(StdRVal-C25),0),1)</f>
        <v>560</v>
      </c>
      <c r="D48" s="12">
        <f t="array" ref="D48">INDEX(StdRVal,MATCH(MIN(ABS(StdRVal-D25)),ABS(StdRVal-D25),0),1)</f>
        <v>360</v>
      </c>
      <c r="E48" s="12">
        <f t="array" ref="E48">INDEX(StdRVal,MATCH(MIN(ABS(StdRVal-E25)),ABS(StdRVal-E25),0),1)</f>
        <v>910</v>
      </c>
      <c r="F48" s="12">
        <f t="array" ref="F48">INDEX(StdRVal,MATCH(MIN(ABS(StdRVal-F25)),ABS(StdRVal-F25),0),1)</f>
        <v>120</v>
      </c>
      <c r="G48" s="12">
        <f t="array" ref="G48">INDEX(StdRVal,MATCH(MIN(ABS(StdRVal-G25)),ABS(StdRVal-G25),0),1)</f>
        <v>3600</v>
      </c>
      <c r="H48" s="12">
        <f t="array" ref="H48">INDEX(StdRVal,MATCH(MIN(ABS(StdRVal-H25)),ABS(StdRVal-H25),0),1)</f>
        <v>470</v>
      </c>
      <c r="I48" s="12">
        <f t="array" ref="I48">INDEX(StdRVal,MATCH(MIN(ABS(StdRVal-I25)),ABS(StdRVal-I25),0),1)</f>
        <v>2700</v>
      </c>
      <c r="J48" s="12">
        <f t="array" ref="J48">INDEX(StdRVal,MATCH(MIN(ABS(StdRVal-J25)),ABS(StdRVal-J25),0),1)</f>
        <v>1800</v>
      </c>
    </row>
    <row r="49" spans="1:12" x14ac:dyDescent="0.25">
      <c r="A49" s="7" t="s">
        <v>189</v>
      </c>
      <c r="B49" s="4" t="s">
        <v>16</v>
      </c>
      <c r="C49" s="12">
        <f t="array" ref="C49">INDEX(StdCapVal,MATCH(MIN(ABS(StdCapVal-C26)),ABS(StdCapVal-C26),0),1)</f>
        <v>2.1999999999999999E-10</v>
      </c>
      <c r="D49" s="12">
        <f t="array" ref="D49">INDEX(StdCapVal,MATCH(MIN(ABS(StdCapVal-D26)),ABS(StdCapVal-D26),0),1)</f>
        <v>2.7E-10</v>
      </c>
      <c r="E49" s="12">
        <f t="array" ref="E49">INDEX(StdCapVal,MATCH(MIN(ABS(StdCapVal-E26)),ABS(StdCapVal-E26),0),1)</f>
        <v>3.3000000000000002E-11</v>
      </c>
      <c r="F49" s="12">
        <f t="array" ref="F49">INDEX(StdCapVal,MATCH(MIN(ABS(StdCapVal-F26)),ABS(StdCapVal-F26),0),1)</f>
        <v>8.2000000000000006E-10</v>
      </c>
      <c r="G49" s="12">
        <f t="array" ref="G49">INDEX(StdCapVal,MATCH(MIN(ABS(StdCapVal-G26)),ABS(StdCapVal-G26),0),1)</f>
        <v>9.9999999999999998E-13</v>
      </c>
      <c r="H49" s="12">
        <f t="array" ref="H49">INDEX(StdCapVal,MATCH(MIN(ABS(StdCapVal-H26)),ABS(StdCapVal-H26),0),1)</f>
        <v>8.2000000000000001E-11</v>
      </c>
      <c r="I49" s="12">
        <f t="array" ref="I49">INDEX(StdCapVal,MATCH(MIN(ABS(StdCapVal-I26)),ABS(StdCapVal-I26),0),1)</f>
        <v>1.1999999999999999E-11</v>
      </c>
      <c r="J49" s="12">
        <f t="array" ref="J49">INDEX(StdCapVal,MATCH(MIN(ABS(StdCapVal-J26)),ABS(StdCapVal-J26),0),1)</f>
        <v>2.6999999999999997E-11</v>
      </c>
    </row>
    <row r="50" spans="1:12" x14ac:dyDescent="0.25">
      <c r="L50" s="94" t="s">
        <v>179</v>
      </c>
    </row>
    <row r="51" spans="1:12" x14ac:dyDescent="0.25">
      <c r="A51" s="11" t="s">
        <v>44</v>
      </c>
      <c r="B51" s="4"/>
    </row>
    <row r="52" spans="1:12" x14ac:dyDescent="0.25">
      <c r="A52" s="15" t="s">
        <v>38</v>
      </c>
      <c r="B52" s="4"/>
      <c r="C52" s="4" t="s">
        <v>45</v>
      </c>
      <c r="D52" s="4" t="s">
        <v>45</v>
      </c>
      <c r="E52" s="4" t="s">
        <v>45</v>
      </c>
      <c r="F52" s="4" t="s">
        <v>45</v>
      </c>
      <c r="G52" s="4" t="s">
        <v>45</v>
      </c>
      <c r="H52" s="4" t="s">
        <v>45</v>
      </c>
      <c r="I52" s="4" t="s">
        <v>71</v>
      </c>
      <c r="J52" s="4" t="s">
        <v>71</v>
      </c>
    </row>
    <row r="53" spans="1:12" ht="30" x14ac:dyDescent="0.25">
      <c r="A53" s="15" t="s">
        <v>39</v>
      </c>
      <c r="B53" s="4"/>
      <c r="C53" s="4" t="s">
        <v>43</v>
      </c>
      <c r="D53" s="4" t="s">
        <v>50</v>
      </c>
      <c r="E53" s="4" t="s">
        <v>50</v>
      </c>
      <c r="F53" s="4" t="s">
        <v>65</v>
      </c>
      <c r="G53" s="4" t="s">
        <v>66</v>
      </c>
      <c r="H53" s="4" t="s">
        <v>68</v>
      </c>
      <c r="I53" s="19" t="s">
        <v>81</v>
      </c>
      <c r="J53" s="19" t="s">
        <v>182</v>
      </c>
    </row>
    <row r="54" spans="1:12" x14ac:dyDescent="0.25">
      <c r="A54" s="15" t="s">
        <v>40</v>
      </c>
      <c r="B54" s="4" t="s">
        <v>24</v>
      </c>
      <c r="C54" s="14" t="s">
        <v>70</v>
      </c>
      <c r="D54" s="4" t="s">
        <v>51</v>
      </c>
      <c r="E54" s="4" t="s">
        <v>51</v>
      </c>
      <c r="F54" s="4" t="s">
        <v>51</v>
      </c>
      <c r="G54" s="4" t="s">
        <v>67</v>
      </c>
      <c r="H54" s="4" t="s">
        <v>69</v>
      </c>
      <c r="I54" s="4" t="s">
        <v>72</v>
      </c>
      <c r="J54" s="4" t="s">
        <v>72</v>
      </c>
    </row>
    <row r="55" spans="1:12" x14ac:dyDescent="0.25">
      <c r="A55" s="15" t="s">
        <v>42</v>
      </c>
      <c r="B55" s="4" t="s">
        <v>46</v>
      </c>
      <c r="C55" s="14">
        <v>-130</v>
      </c>
      <c r="D55" s="4">
        <v>-112.35</v>
      </c>
      <c r="E55" s="4">
        <v>-112.35</v>
      </c>
      <c r="F55" s="4">
        <v>-112.35</v>
      </c>
      <c r="G55" s="4">
        <v>-92.33</v>
      </c>
      <c r="H55" s="4">
        <v>-98.5</v>
      </c>
      <c r="I55" s="4">
        <v>-128.4</v>
      </c>
      <c r="J55" s="4">
        <v>-128.4</v>
      </c>
      <c r="K55" s="4"/>
      <c r="L55" s="4"/>
    </row>
    <row r="56" spans="1:12" x14ac:dyDescent="0.25">
      <c r="A56" s="15" t="s">
        <v>41</v>
      </c>
      <c r="B56" s="4" t="s">
        <v>12</v>
      </c>
      <c r="C56" s="14">
        <v>100000</v>
      </c>
      <c r="D56" s="16">
        <v>100000</v>
      </c>
      <c r="E56" s="16">
        <v>100000</v>
      </c>
      <c r="F56" s="16">
        <v>100000</v>
      </c>
      <c r="G56" s="16">
        <v>100000</v>
      </c>
      <c r="H56" s="16">
        <v>100000</v>
      </c>
      <c r="I56" s="16">
        <v>100000</v>
      </c>
      <c r="J56" s="16">
        <v>100000</v>
      </c>
      <c r="K56" s="16"/>
      <c r="L56" s="16"/>
    </row>
    <row r="57" spans="1:12" x14ac:dyDescent="0.25">
      <c r="B57" s="4"/>
      <c r="D57" s="4"/>
    </row>
    <row r="58" spans="1:12" x14ac:dyDescent="0.25">
      <c r="B58" s="4"/>
    </row>
    <row r="59" spans="1:12" x14ac:dyDescent="0.25">
      <c r="A59" s="1" t="s">
        <v>56</v>
      </c>
      <c r="B59" s="4"/>
      <c r="C59" s="4" t="s">
        <v>64</v>
      </c>
    </row>
    <row r="60" spans="1:12" x14ac:dyDescent="0.25">
      <c r="A60" t="s">
        <v>5</v>
      </c>
      <c r="C60" s="113">
        <v>8</v>
      </c>
    </row>
    <row r="61" spans="1:12" hidden="1" x14ac:dyDescent="0.25">
      <c r="A61" t="s">
        <v>36</v>
      </c>
      <c r="B61" t="s">
        <v>12</v>
      </c>
      <c r="C61">
        <f>HLOOKUP($C$60,$C$5:$J$49,3)</f>
        <v>300000</v>
      </c>
    </row>
    <row r="62" spans="1:12" hidden="1" x14ac:dyDescent="0.25">
      <c r="A62" t="s">
        <v>35</v>
      </c>
      <c r="B62" t="s">
        <v>27</v>
      </c>
      <c r="C62">
        <f>HLOOKUP($C$60,$C$5:$J$49,4)</f>
        <v>45</v>
      </c>
    </row>
    <row r="63" spans="1:12" hidden="1" x14ac:dyDescent="0.25">
      <c r="A63" s="15" t="s">
        <v>6</v>
      </c>
      <c r="B63" s="4" t="s">
        <v>12</v>
      </c>
      <c r="C63">
        <f>HLOOKUP($C$60,$C$5:$J$49,5)</f>
        <v>50000000</v>
      </c>
    </row>
    <row r="64" spans="1:12" hidden="1" x14ac:dyDescent="0.25">
      <c r="A64" s="15" t="s">
        <v>10</v>
      </c>
      <c r="B64" s="4" t="s">
        <v>12</v>
      </c>
      <c r="C64">
        <f>HLOOKUP($C$60,$C$5:$J$49,6)</f>
        <v>3900000000</v>
      </c>
    </row>
    <row r="65" spans="1:4" hidden="1" x14ac:dyDescent="0.25">
      <c r="A65" s="15" t="s">
        <v>11</v>
      </c>
      <c r="B65" s="4" t="s">
        <v>12</v>
      </c>
      <c r="C65">
        <f>HLOOKUP($C$60,$C$5:$J$49,7)</f>
        <v>4100000000</v>
      </c>
    </row>
    <row r="66" spans="1:4" hidden="1" x14ac:dyDescent="0.25">
      <c r="A66" s="15" t="s">
        <v>113</v>
      </c>
      <c r="B66" s="78"/>
      <c r="C66" t="str">
        <f>HLOOKUP($C$60,$C$5:$J$53,49)</f>
        <v>CVCO55-
603199</v>
      </c>
    </row>
    <row r="67" spans="1:4" hidden="1" x14ac:dyDescent="0.25">
      <c r="A67" s="15" t="s">
        <v>23</v>
      </c>
      <c r="B67" s="4" t="s">
        <v>24</v>
      </c>
      <c r="C67">
        <f>HLOOKUP($C$60,$C$5:$J$49,8)</f>
        <v>22000000</v>
      </c>
    </row>
    <row r="68" spans="1:4" hidden="1" x14ac:dyDescent="0.25">
      <c r="A68" s="15" t="s">
        <v>42</v>
      </c>
      <c r="B68" s="78" t="s">
        <v>46</v>
      </c>
      <c r="C68">
        <f>HLOOKUP($C$60,$C$5:$K$55,51)</f>
        <v>-128.4</v>
      </c>
    </row>
    <row r="69" spans="1:4" hidden="1" x14ac:dyDescent="0.25">
      <c r="A69" s="15" t="s">
        <v>41</v>
      </c>
      <c r="B69" s="78" t="s">
        <v>12</v>
      </c>
      <c r="C69">
        <f>HLOOKUP($C$60,$C$5:$K$56,52)</f>
        <v>100000</v>
      </c>
    </row>
    <row r="70" spans="1:4" hidden="1" x14ac:dyDescent="0.25">
      <c r="A70" s="15" t="s">
        <v>7</v>
      </c>
      <c r="B70" s="4" t="s">
        <v>13</v>
      </c>
      <c r="C70">
        <f>HLOOKUP($C$60,$C$5:$J$49,9)</f>
        <v>2.5000000000000001E-3</v>
      </c>
    </row>
    <row r="71" spans="1:4" hidden="1" x14ac:dyDescent="0.25">
      <c r="A71" s="15" t="s">
        <v>8</v>
      </c>
      <c r="B71" s="4" t="s">
        <v>13</v>
      </c>
      <c r="C71">
        <f>HLOOKUP($C$60,$C$5:$J$49,10)</f>
        <v>1.5625E-4</v>
      </c>
    </row>
    <row r="72" spans="1:4" hidden="1" x14ac:dyDescent="0.25">
      <c r="A72" s="15" t="s">
        <v>9</v>
      </c>
      <c r="B72" s="4" t="s">
        <v>14</v>
      </c>
      <c r="C72">
        <f>HLOOKUP($C$60,$C$5:$J$49,11)</f>
        <v>2.7</v>
      </c>
    </row>
    <row r="73" spans="1:4" hidden="1" x14ac:dyDescent="0.25">
      <c r="A73" s="15" t="s">
        <v>164</v>
      </c>
      <c r="B73" s="100" t="s">
        <v>165</v>
      </c>
      <c r="C73" s="97" t="str">
        <f>HLOOKUP($C$60,$C$5:$J$49,24)</f>
        <v>-229.5</v>
      </c>
      <c r="D73">
        <v>-263</v>
      </c>
    </row>
    <row r="74" spans="1:4" hidden="1" x14ac:dyDescent="0.25">
      <c r="A74" s="15"/>
      <c r="B74" s="99" t="s">
        <v>166</v>
      </c>
      <c r="C74" s="97" t="str">
        <f>HLOOKUP($C$60,$C$5:$J$49,13)</f>
        <v>5|6</v>
      </c>
      <c r="D74">
        <v>-260</v>
      </c>
    </row>
    <row r="75" spans="1:4" hidden="1" x14ac:dyDescent="0.25">
      <c r="A75" s="15" t="s">
        <v>161</v>
      </c>
      <c r="B75" s="110" t="s">
        <v>177</v>
      </c>
      <c r="C75" s="97" t="str">
        <f>IF(HLOOKUP($C$60,$C$5:$J$49,14)="INT-N","0",IF(HLOOKUP($C$60,$C$5:$J$49,14)="MASH 1-1","2",IF(HLOOKUP($C$60,$C$5:$J$49,14)="MASH 1-1-1","3")))</f>
        <v>3</v>
      </c>
    </row>
    <row r="76" spans="1:4" hidden="1" x14ac:dyDescent="0.25">
      <c r="B76" s="96" t="s">
        <v>159</v>
      </c>
    </row>
    <row r="77" spans="1:4" hidden="1" x14ac:dyDescent="0.25">
      <c r="A77" s="15"/>
      <c r="B77" s="96" t="s">
        <v>160</v>
      </c>
      <c r="C77" s="97" t="str">
        <f>HLOOKUP($C$60,$C$5:$J$49,14)</f>
        <v>MASH 1-1-1</v>
      </c>
    </row>
    <row r="78" spans="1:4" hidden="1" x14ac:dyDescent="0.25">
      <c r="A78" s="15" t="s">
        <v>60</v>
      </c>
      <c r="B78" s="4"/>
      <c r="C78">
        <f>HLOOKUP($C$60,$C$5:$J$49,30)</f>
        <v>80</v>
      </c>
    </row>
    <row r="79" spans="1:4" hidden="1" x14ac:dyDescent="0.25">
      <c r="A79" s="7" t="s">
        <v>20</v>
      </c>
      <c r="B79" s="4"/>
      <c r="C79">
        <f>HLOOKUP($C$60,$C$5:$J$49,27)</f>
        <v>471238.89803846896</v>
      </c>
    </row>
    <row r="80" spans="1:4" hidden="1" x14ac:dyDescent="0.25">
      <c r="A80" s="7" t="s">
        <v>18</v>
      </c>
      <c r="B80" s="4"/>
      <c r="C80">
        <f>HLOOKUP($C$60,$C$5:$J$49,28)</f>
        <v>10084512.418023234</v>
      </c>
    </row>
    <row r="81" spans="1:4" hidden="1" x14ac:dyDescent="0.25">
      <c r="A81" s="7" t="s">
        <v>19</v>
      </c>
      <c r="B81" s="4"/>
      <c r="C81">
        <f>HLOOKUP($C$60,$C$5:$J$49,29)</f>
        <v>15268140.296446394</v>
      </c>
    </row>
    <row r="82" spans="1:4" hidden="1" x14ac:dyDescent="0.25">
      <c r="A82" s="7" t="s">
        <v>53</v>
      </c>
      <c r="B82" s="4"/>
      <c r="C82">
        <f>HLOOKUP($C$60,$C$5:$J$49,34)</f>
        <v>0.33333333333333331</v>
      </c>
    </row>
    <row r="83" spans="1:4" hidden="1" x14ac:dyDescent="0.25">
      <c r="A83" s="7" t="s">
        <v>32</v>
      </c>
      <c r="B83" s="72" t="s">
        <v>16</v>
      </c>
      <c r="C83">
        <f>HLOOKUP($C$60,$C$5:$J$49,36)</f>
        <v>7.4538228824732632E-10</v>
      </c>
    </row>
    <row r="84" spans="1:4" hidden="1" x14ac:dyDescent="0.25">
      <c r="A84" s="15" t="s">
        <v>22</v>
      </c>
      <c r="B84" s="4" t="s">
        <v>15</v>
      </c>
      <c r="C84">
        <f>HLOOKUP($C$60,$C$5:$J$49,38)</f>
        <v>8200</v>
      </c>
    </row>
    <row r="85" spans="1:4" hidden="1" x14ac:dyDescent="0.25">
      <c r="A85" s="15" t="s">
        <v>188</v>
      </c>
      <c r="B85" s="4" t="s">
        <v>15</v>
      </c>
      <c r="C85">
        <f>HLOOKUP($C$60,$C$5:$J$49,39)</f>
        <v>3000</v>
      </c>
    </row>
    <row r="86" spans="1:4" hidden="1" x14ac:dyDescent="0.25">
      <c r="A86" s="15" t="s">
        <v>187</v>
      </c>
      <c r="B86" s="4" t="s">
        <v>16</v>
      </c>
      <c r="C86">
        <f>HLOOKUP($C$60,$C$5:$J$49,40)</f>
        <v>6.7999999999999993E-10</v>
      </c>
    </row>
    <row r="87" spans="1:4" hidden="1" x14ac:dyDescent="0.25">
      <c r="A87" s="15" t="s">
        <v>186</v>
      </c>
      <c r="B87" s="4" t="s">
        <v>16</v>
      </c>
      <c r="C87">
        <f>HLOOKUP($C$60,$C$5:$J$49,41)</f>
        <v>3.3000000000000002E-11</v>
      </c>
    </row>
    <row r="88" spans="1:4" hidden="1" x14ac:dyDescent="0.25">
      <c r="A88" s="15" t="s">
        <v>185</v>
      </c>
      <c r="B88" s="4" t="s">
        <v>15</v>
      </c>
      <c r="C88">
        <f>HLOOKUP($C$60,$C$5:$J$49,42)</f>
        <v>1800</v>
      </c>
    </row>
    <row r="89" spans="1:4" hidden="1" x14ac:dyDescent="0.25">
      <c r="A89" s="15" t="s">
        <v>184</v>
      </c>
      <c r="B89" s="4" t="s">
        <v>16</v>
      </c>
      <c r="C89">
        <f>HLOOKUP($C$60,$C$5:$J$49,43)</f>
        <v>3.3000000000000002E-11</v>
      </c>
    </row>
    <row r="90" spans="1:4" hidden="1" x14ac:dyDescent="0.25">
      <c r="A90" s="7" t="s">
        <v>190</v>
      </c>
      <c r="B90" s="4" t="s">
        <v>15</v>
      </c>
      <c r="C90">
        <f>HLOOKUP($C$60,$C$5:$J$49,44)</f>
        <v>1800</v>
      </c>
    </row>
    <row r="91" spans="1:4" hidden="1" x14ac:dyDescent="0.25">
      <c r="A91" s="7" t="s">
        <v>189</v>
      </c>
      <c r="B91" s="4" t="s">
        <v>16</v>
      </c>
      <c r="C91">
        <f>HLOOKUP($C$60,$C$5:$J$49,45)</f>
        <v>2.6999999999999997E-11</v>
      </c>
    </row>
    <row r="92" spans="1:4" hidden="1" x14ac:dyDescent="0.25"/>
    <row r="93" spans="1:4" x14ac:dyDescent="0.25">
      <c r="A93" t="s">
        <v>57</v>
      </c>
      <c r="B93" s="5">
        <v>1000</v>
      </c>
    </row>
    <row r="94" spans="1:4" x14ac:dyDescent="0.25">
      <c r="A94" t="s">
        <v>58</v>
      </c>
      <c r="B94" s="5">
        <v>100000000</v>
      </c>
    </row>
    <row r="95" spans="1:4" x14ac:dyDescent="0.25">
      <c r="B95" s="16" t="s">
        <v>59</v>
      </c>
      <c r="C95" s="4" t="s">
        <v>62</v>
      </c>
      <c r="D95" s="7" t="s">
        <v>61</v>
      </c>
    </row>
    <row r="96" spans="1:4" x14ac:dyDescent="0.25">
      <c r="A96">
        <v>0</v>
      </c>
      <c r="B96" s="5">
        <v>100</v>
      </c>
      <c r="C96" s="5">
        <f t="shared" ref="C96:C127" si="38">20*LOG10(C$70*C$67/C$78/(C$86+C$87)/(2*PI()*B96)^2*SQRT((2*PI()*B96/C$79)^2+1)/(SQRT((2*PI()*B96/C$80)^2+1))/SQRT(((2*PI()*B96/C$81)^2+1)^2+(2*PI()*B96/C$81/C$82)^2))</f>
        <v>127.75647634170596</v>
      </c>
      <c r="D96" s="5">
        <f>180/PI()*(ATAN(2*PI()*B96/C$79)-ATAN(2*PI()*B96/C$80)-ATAN2((-1*(2*PI()*B96/C$81)^2+1),(2*PI()*B96/C$81/C$82)))</f>
        <v>6.5750943916432325E-2</v>
      </c>
    </row>
    <row r="97" spans="1:4" x14ac:dyDescent="0.25">
      <c r="A97">
        <v>1</v>
      </c>
      <c r="B97" s="5">
        <f>$B$93*10^(A97/100*(LOG10($B$94/$B$93)))</f>
        <v>1122.0184543019636</v>
      </c>
      <c r="C97" s="5">
        <f t="shared" si="38"/>
        <v>85.757428292400618</v>
      </c>
      <c r="D97" s="5">
        <f t="shared" ref="D97:D160" si="39">180/PI()*(ATAN(2*PI()*B97/C$79)-ATAN(2*PI()*B97/C$80)-ATAN2((-1*(2*PI()*B97/C$81)^2+1),(2*PI()*B97/C$81/C$82)))</f>
        <v>0.7376743345784903</v>
      </c>
    </row>
    <row r="98" spans="1:4" x14ac:dyDescent="0.25">
      <c r="A98">
        <v>2</v>
      </c>
      <c r="B98" s="5">
        <f t="shared" ref="B98:B161" si="40">$B$93*10^(A98/100*(LOG10($B$94/$B$93)))</f>
        <v>1258.9254117941673</v>
      </c>
      <c r="C98" s="5">
        <f t="shared" si="38"/>
        <v>83.757676714980732</v>
      </c>
      <c r="D98" s="5">
        <f t="shared" si="39"/>
        <v>0.82766565630956357</v>
      </c>
    </row>
    <row r="99" spans="1:4" x14ac:dyDescent="0.25">
      <c r="A99">
        <v>3</v>
      </c>
      <c r="B99" s="5">
        <f t="shared" si="40"/>
        <v>1412.5375446227545</v>
      </c>
      <c r="C99" s="5">
        <f t="shared" si="38"/>
        <v>81.75798943975623</v>
      </c>
      <c r="D99" s="5">
        <f t="shared" si="39"/>
        <v>0.92862992523645604</v>
      </c>
    </row>
    <row r="100" spans="1:4" x14ac:dyDescent="0.25">
      <c r="A100">
        <v>4</v>
      </c>
      <c r="B100" s="5">
        <f t="shared" si="40"/>
        <v>1584.8931924611136</v>
      </c>
      <c r="C100" s="5">
        <f t="shared" si="38"/>
        <v>79.758383104083407</v>
      </c>
      <c r="D100" s="5">
        <f t="shared" si="39"/>
        <v>1.0419028871325373</v>
      </c>
    </row>
    <row r="101" spans="1:4" x14ac:dyDescent="0.25">
      <c r="A101">
        <v>5</v>
      </c>
      <c r="B101" s="5">
        <f t="shared" si="40"/>
        <v>1778.2794100389231</v>
      </c>
      <c r="C101" s="5">
        <f t="shared" si="38"/>
        <v>77.758878646071039</v>
      </c>
      <c r="D101" s="5">
        <f t="shared" si="39"/>
        <v>1.1689819725672039</v>
      </c>
    </row>
    <row r="102" spans="1:4" x14ac:dyDescent="0.25">
      <c r="A102">
        <v>6</v>
      </c>
      <c r="B102" s="5">
        <f t="shared" si="40"/>
        <v>1995.2623149688798</v>
      </c>
      <c r="C102" s="5">
        <f t="shared" si="38"/>
        <v>75.759502414017334</v>
      </c>
      <c r="D102" s="5">
        <f t="shared" si="39"/>
        <v>1.3115454897592547</v>
      </c>
    </row>
    <row r="103" spans="1:4" x14ac:dyDescent="0.25">
      <c r="A103">
        <v>7</v>
      </c>
      <c r="B103" s="5">
        <f t="shared" si="40"/>
        <v>2238.7211385683399</v>
      </c>
      <c r="C103" s="5">
        <f t="shared" si="38"/>
        <v>73.76028756069303</v>
      </c>
      <c r="D103" s="5">
        <f t="shared" si="39"/>
        <v>1.4714739390795262</v>
      </c>
    </row>
    <row r="104" spans="1:4" x14ac:dyDescent="0.25">
      <c r="A104">
        <v>8</v>
      </c>
      <c r="B104" s="5">
        <f t="shared" si="40"/>
        <v>2511.8864315095807</v>
      </c>
      <c r="C104" s="5">
        <f t="shared" si="38"/>
        <v>71.761275794817038</v>
      </c>
      <c r="D104" s="5">
        <f t="shared" si="39"/>
        <v>1.6508736178136123</v>
      </c>
    </row>
    <row r="105" spans="1:4" x14ac:dyDescent="0.25">
      <c r="A105">
        <v>9</v>
      </c>
      <c r="B105" s="5">
        <f t="shared" si="40"/>
        <v>2818.3829312644539</v>
      </c>
      <c r="C105" s="5">
        <f t="shared" si="38"/>
        <v>69.762519579984442</v>
      </c>
      <c r="D105" s="5">
        <f t="shared" si="39"/>
        <v>1.8521026675830425</v>
      </c>
    </row>
    <row r="106" spans="1:4" x14ac:dyDescent="0.25">
      <c r="A106">
        <v>10</v>
      </c>
      <c r="B106" s="5">
        <f t="shared" si="40"/>
        <v>3162.2776601683795</v>
      </c>
      <c r="C106" s="5">
        <f t="shared" si="38"/>
        <v>67.764084893383895</v>
      </c>
      <c r="D106" s="5">
        <f t="shared" si="39"/>
        <v>2.0777996838078217</v>
      </c>
    </row>
    <row r="107" spans="1:4" x14ac:dyDescent="0.25">
      <c r="A107">
        <v>11</v>
      </c>
      <c r="B107" s="5">
        <f t="shared" si="40"/>
        <v>3548.1338923357553</v>
      </c>
      <c r="C107" s="5">
        <f t="shared" si="38"/>
        <v>65.766054683689774</v>
      </c>
      <c r="D107" s="5">
        <f t="shared" si="39"/>
        <v>2.3309149488792391</v>
      </c>
    </row>
    <row r="108" spans="1:4" x14ac:dyDescent="0.25">
      <c r="A108">
        <v>12</v>
      </c>
      <c r="B108" s="5">
        <f t="shared" si="40"/>
        <v>3981.0717055349728</v>
      </c>
      <c r="C108" s="5">
        <f t="shared" si="38"/>
        <v>63.768533200389513</v>
      </c>
      <c r="D108" s="5">
        <f t="shared" si="39"/>
        <v>2.6147442572362327</v>
      </c>
    </row>
    <row r="109" spans="1:4" x14ac:dyDescent="0.25">
      <c r="A109">
        <v>13</v>
      </c>
      <c r="B109" s="5">
        <f t="shared" si="40"/>
        <v>4466.8359215096316</v>
      </c>
      <c r="C109" s="5">
        <f t="shared" si="38"/>
        <v>61.771651406352674</v>
      </c>
      <c r="D109" s="5">
        <f t="shared" si="39"/>
        <v>2.9329651559327732</v>
      </c>
    </row>
    <row r="110" spans="1:4" x14ac:dyDescent="0.25">
      <c r="A110">
        <v>14</v>
      </c>
      <c r="B110" s="5">
        <f t="shared" si="40"/>
        <v>5011.8723362727242</v>
      </c>
      <c r="C110" s="5">
        <f t="shared" si="38"/>
        <v>59.77557373234778</v>
      </c>
      <c r="D110" s="5">
        <f t="shared" si="39"/>
        <v>3.2896752074038162</v>
      </c>
    </row>
    <row r="111" spans="1:4" x14ac:dyDescent="0.25">
      <c r="A111">
        <v>15</v>
      </c>
      <c r="B111" s="5">
        <f t="shared" si="40"/>
        <v>5623.413251903492</v>
      </c>
      <c r="C111" s="5">
        <f t="shared" si="38"/>
        <v>57.780506486755201</v>
      </c>
      <c r="D111" s="5">
        <f t="shared" si="39"/>
        <v>3.6894315632303951</v>
      </c>
    </row>
    <row r="112" spans="1:4" x14ac:dyDescent="0.25">
      <c r="A112">
        <v>16</v>
      </c>
      <c r="B112" s="5">
        <f t="shared" si="40"/>
        <v>6309.5734448019339</v>
      </c>
      <c r="C112" s="5">
        <f t="shared" si="38"/>
        <v>55.78670829539594</v>
      </c>
      <c r="D112" s="5">
        <f t="shared" si="39"/>
        <v>4.1372906802335612</v>
      </c>
    </row>
    <row r="113" spans="1:4" x14ac:dyDescent="0.25">
      <c r="A113">
        <v>17</v>
      </c>
      <c r="B113" s="5">
        <f t="shared" si="40"/>
        <v>7079.457843841381</v>
      </c>
      <c r="C113" s="5">
        <f t="shared" si="38"/>
        <v>53.794503013231065</v>
      </c>
      <c r="D113" s="5">
        <f t="shared" si="39"/>
        <v>4.6388463625132559</v>
      </c>
    </row>
    <row r="114" spans="1:4" x14ac:dyDescent="0.25">
      <c r="A114">
        <v>18</v>
      </c>
      <c r="B114" s="5">
        <f t="shared" si="40"/>
        <v>7943.2823472428136</v>
      </c>
      <c r="C114" s="5">
        <f t="shared" si="38"/>
        <v>51.804295617240975</v>
      </c>
      <c r="D114" s="5">
        <f t="shared" si="39"/>
        <v>5.2002634101406722</v>
      </c>
    </row>
    <row r="115" spans="1:4" x14ac:dyDescent="0.25">
      <c r="A115">
        <v>19</v>
      </c>
      <c r="B115" s="5">
        <f t="shared" si="40"/>
        <v>8912.5093813374569</v>
      </c>
      <c r="C115" s="5">
        <f t="shared" si="38"/>
        <v>49.816591649612711</v>
      </c>
      <c r="D115" s="5">
        <f t="shared" si="39"/>
        <v>5.8283029168761722</v>
      </c>
    </row>
    <row r="116" spans="1:4" x14ac:dyDescent="0.25">
      <c r="A116">
        <v>20</v>
      </c>
      <c r="B116" s="5">
        <f t="shared" si="40"/>
        <v>10000</v>
      </c>
      <c r="C116" s="5">
        <f t="shared" si="38"/>
        <v>47.832020817729699</v>
      </c>
      <c r="D116" s="5">
        <f t="shared" si="39"/>
        <v>6.5303335918134664</v>
      </c>
    </row>
    <row r="117" spans="1:4" x14ac:dyDescent="0.25">
      <c r="A117">
        <v>21</v>
      </c>
      <c r="B117" s="5">
        <f t="shared" si="40"/>
        <v>11220.184543019635</v>
      </c>
      <c r="C117" s="5">
        <f t="shared" si="38"/>
        <v>45.851365348290699</v>
      </c>
      <c r="D117" s="5">
        <f t="shared" si="39"/>
        <v>7.3143212837490044</v>
      </c>
    </row>
    <row r="118" spans="1:4" x14ac:dyDescent="0.25">
      <c r="A118">
        <v>22</v>
      </c>
      <c r="B118" s="5">
        <f t="shared" si="40"/>
        <v>12589.25411794168</v>
      </c>
      <c r="C118" s="5">
        <f t="shared" si="38"/>
        <v>43.875593599717803</v>
      </c>
      <c r="D118" s="5">
        <f t="shared" si="39"/>
        <v>8.1887860756538977</v>
      </c>
    </row>
    <row r="119" spans="1:4" x14ac:dyDescent="0.25">
      <c r="A119">
        <v>23</v>
      </c>
      <c r="B119" s="5">
        <f t="shared" si="40"/>
        <v>14125.37544622755</v>
      </c>
      <c r="C119" s="5">
        <f t="shared" si="38"/>
        <v>41.905899204341623</v>
      </c>
      <c r="D119" s="5">
        <f t="shared" si="39"/>
        <v>9.1627128532918132</v>
      </c>
    </row>
    <row r="120" spans="1:4" x14ac:dyDescent="0.25">
      <c r="A120">
        <v>24</v>
      </c>
      <c r="B120" s="5">
        <f t="shared" si="40"/>
        <v>15848.931924611137</v>
      </c>
      <c r="C120" s="5">
        <f t="shared" si="38"/>
        <v>39.943745561880128</v>
      </c>
      <c r="D120" s="5">
        <f t="shared" si="39"/>
        <v>10.245397217076064</v>
      </c>
    </row>
    <row r="121" spans="1:4" x14ac:dyDescent="0.25">
      <c r="A121">
        <v>25</v>
      </c>
      <c r="B121" s="5">
        <f t="shared" si="40"/>
        <v>17782.794100389234</v>
      </c>
      <c r="C121" s="5">
        <f t="shared" si="38"/>
        <v>37.990914736921162</v>
      </c>
      <c r="D121" s="5">
        <f t="shared" si="39"/>
        <v>11.446204305891404</v>
      </c>
    </row>
    <row r="122" spans="1:4" x14ac:dyDescent="0.25">
      <c r="A122">
        <v>26</v>
      </c>
      <c r="B122" s="5">
        <f t="shared" si="40"/>
        <v>19952.623149688803</v>
      </c>
      <c r="C122" s="5">
        <f t="shared" si="38"/>
        <v>36.049558606360137</v>
      </c>
      <c r="D122" s="5">
        <f t="shared" si="39"/>
        <v>12.774214229030145</v>
      </c>
    </row>
    <row r="123" spans="1:4" x14ac:dyDescent="0.25">
      <c r="A123">
        <v>27</v>
      </c>
      <c r="B123" s="5">
        <f t="shared" si="40"/>
        <v>22387.211385683404</v>
      </c>
      <c r="C123" s="5">
        <f t="shared" si="38"/>
        <v>34.122248343164415</v>
      </c>
      <c r="D123" s="5">
        <f t="shared" si="39"/>
        <v>14.237725646209723</v>
      </c>
    </row>
    <row r="124" spans="1:4" x14ac:dyDescent="0.25">
      <c r="A124">
        <v>28</v>
      </c>
      <c r="B124" s="5">
        <f t="shared" si="40"/>
        <v>25118.864315095809</v>
      </c>
      <c r="C124" s="5">
        <f t="shared" si="38"/>
        <v>32.212015948875802</v>
      </c>
      <c r="D124" s="5">
        <f t="shared" si="39"/>
        <v>15.843590692626474</v>
      </c>
    </row>
    <row r="125" spans="1:4" x14ac:dyDescent="0.25">
      <c r="A125">
        <v>29</v>
      </c>
      <c r="B125" s="5">
        <f t="shared" si="40"/>
        <v>28183.82931264455</v>
      </c>
      <c r="C125" s="5">
        <f t="shared" si="38"/>
        <v>30.322378639250282</v>
      </c>
      <c r="D125" s="5">
        <f t="shared" si="39"/>
        <v>17.596362920796576</v>
      </c>
    </row>
    <row r="126" spans="1:4" x14ac:dyDescent="0.25">
      <c r="A126">
        <v>30</v>
      </c>
      <c r="B126" s="5">
        <f t="shared" si="40"/>
        <v>31622.776601683803</v>
      </c>
      <c r="C126" s="5">
        <f t="shared" si="38"/>
        <v>28.457333799833719</v>
      </c>
      <c r="D126" s="5">
        <f t="shared" si="39"/>
        <v>19.497258890917792</v>
      </c>
    </row>
    <row r="127" spans="1:4" x14ac:dyDescent="0.25">
      <c r="A127">
        <v>31</v>
      </c>
      <c r="B127" s="5">
        <f t="shared" si="40"/>
        <v>35481.338923357558</v>
      </c>
      <c r="C127" s="5">
        <f t="shared" si="38"/>
        <v>26.621309742883724</v>
      </c>
      <c r="D127" s="5">
        <f t="shared" si="39"/>
        <v>21.542966877231908</v>
      </c>
    </row>
    <row r="128" spans="1:4" x14ac:dyDescent="0.25">
      <c r="A128">
        <v>32</v>
      </c>
      <c r="B128" s="5">
        <f t="shared" si="40"/>
        <v>39810.717055349756</v>
      </c>
      <c r="C128" s="5">
        <f t="shared" ref="C128:C159" si="41">20*LOG10(C$70*C$67/C$78/(C$86+C$87)/(2*PI()*B128)^2*SQRT((2*PI()*B128/C$79)^2+1)/(SQRT((2*PI()*B128/C$80)^2+1))/SQRT(((2*PI()*B128/C$81)^2+1)^2+(2*PI()*B128/C$81/C$82)^2))</f>
        <v>24.81905692042902</v>
      </c>
      <c r="D128" s="5">
        <f t="shared" si="39"/>
        <v>23.724383997592817</v>
      </c>
    </row>
    <row r="129" spans="1:4" x14ac:dyDescent="0.25">
      <c r="A129">
        <v>33</v>
      </c>
      <c r="B129" s="5">
        <f t="shared" si="40"/>
        <v>44668.359215096345</v>
      </c>
      <c r="C129" s="5">
        <f t="shared" si="41"/>
        <v>23.055467303310991</v>
      </c>
      <c r="D129" s="5">
        <f t="shared" si="39"/>
        <v>26.025421742353991</v>
      </c>
    </row>
    <row r="130" spans="1:4" x14ac:dyDescent="0.25">
      <c r="A130">
        <v>34</v>
      </c>
      <c r="B130" s="5">
        <f t="shared" si="40"/>
        <v>50118.723362727258</v>
      </c>
      <c r="C130" s="5">
        <f t="shared" si="41"/>
        <v>21.335317955562299</v>
      </c>
      <c r="D130" s="5">
        <f t="shared" si="39"/>
        <v>28.422076725216392</v>
      </c>
    </row>
    <row r="131" spans="1:4" x14ac:dyDescent="0.25">
      <c r="A131">
        <v>35</v>
      </c>
      <c r="B131" s="5">
        <f t="shared" si="40"/>
        <v>56234.132519034916</v>
      </c>
      <c r="C131" s="5">
        <f t="shared" si="41"/>
        <v>19.662948959233091</v>
      </c>
      <c r="D131" s="5">
        <f t="shared" si="39"/>
        <v>30.881996421764239</v>
      </c>
    </row>
    <row r="132" spans="1:4" x14ac:dyDescent="0.25">
      <c r="A132">
        <v>36</v>
      </c>
      <c r="B132" s="5">
        <f t="shared" si="40"/>
        <v>63095.734448019306</v>
      </c>
      <c r="C132" s="5">
        <f t="shared" si="41"/>
        <v>18.041903979277947</v>
      </c>
      <c r="D132" s="5">
        <f t="shared" si="39"/>
        <v>33.364751786823518</v>
      </c>
    </row>
    <row r="133" spans="1:4" x14ac:dyDescent="0.25">
      <c r="A133">
        <v>37</v>
      </c>
      <c r="B133" s="5">
        <f t="shared" si="40"/>
        <v>70794.578438413868</v>
      </c>
      <c r="C133" s="5">
        <f t="shared" si="41"/>
        <v>16.474579046144232</v>
      </c>
      <c r="D133" s="5">
        <f t="shared" si="39"/>
        <v>35.822940258612476</v>
      </c>
    </row>
    <row r="134" spans="1:4" x14ac:dyDescent="0.25">
      <c r="A134">
        <v>38</v>
      </c>
      <c r="B134" s="5">
        <f t="shared" si="40"/>
        <v>79432.823472428194</v>
      </c>
      <c r="C134" s="5">
        <f t="shared" si="41"/>
        <v>14.961934544968599</v>
      </c>
      <c r="D134" s="5">
        <f t="shared" si="39"/>
        <v>38.204087488791053</v>
      </c>
    </row>
    <row r="135" spans="1:4" x14ac:dyDescent="0.25">
      <c r="A135">
        <v>39</v>
      </c>
      <c r="B135" s="5">
        <f t="shared" si="40"/>
        <v>89125.093813374639</v>
      </c>
      <c r="C135" s="5">
        <f t="shared" si="41"/>
        <v>13.503320691307273</v>
      </c>
      <c r="D135" s="5">
        <f t="shared" si="39"/>
        <v>40.453131399989275</v>
      </c>
    </row>
    <row r="136" spans="1:4" x14ac:dyDescent="0.25">
      <c r="A136">
        <v>40</v>
      </c>
      <c r="B136" s="5">
        <f t="shared" si="40"/>
        <v>100000</v>
      </c>
      <c r="C136" s="5">
        <f t="shared" si="41"/>
        <v>12.096446385503437</v>
      </c>
      <c r="D136" s="5">
        <f t="shared" si="39"/>
        <v>42.515120664015662</v>
      </c>
    </row>
    <row r="137" spans="1:4" x14ac:dyDescent="0.25">
      <c r="A137">
        <v>41</v>
      </c>
      <c r="B137" s="5">
        <f t="shared" si="40"/>
        <v>112201.84543019635</v>
      </c>
      <c r="C137" s="5">
        <f t="shared" si="41"/>
        <v>10.737490580559912</v>
      </c>
      <c r="D137" s="5">
        <f t="shared" si="39"/>
        <v>44.337701883242474</v>
      </c>
    </row>
    <row r="138" spans="1:4" x14ac:dyDescent="0.25">
      <c r="A138">
        <v>42</v>
      </c>
      <c r="B138" s="5">
        <f t="shared" si="40"/>
        <v>125892.54117941677</v>
      </c>
      <c r="C138" s="5">
        <f t="shared" si="41"/>
        <v>9.421324609557411</v>
      </c>
      <c r="D138" s="5">
        <f t="shared" si="39"/>
        <v>45.873030856212999</v>
      </c>
    </row>
    <row r="139" spans="1:4" x14ac:dyDescent="0.25">
      <c r="A139">
        <v>43</v>
      </c>
      <c r="B139" s="5">
        <f t="shared" si="40"/>
        <v>141253.75446227542</v>
      </c>
      <c r="C139" s="5">
        <f t="shared" si="41"/>
        <v>8.1417937628839745</v>
      </c>
      <c r="D139" s="5">
        <f t="shared" si="39"/>
        <v>47.078898491103757</v>
      </c>
    </row>
    <row r="140" spans="1:4" x14ac:dyDescent="0.25">
      <c r="A140">
        <v>44</v>
      </c>
      <c r="B140" s="5">
        <f t="shared" si="40"/>
        <v>158489.31924611152</v>
      </c>
      <c r="C140" s="5">
        <f t="shared" si="41"/>
        <v>6.8920021675323806</v>
      </c>
      <c r="D140" s="5">
        <f t="shared" si="39"/>
        <v>47.919051023141819</v>
      </c>
    </row>
    <row r="141" spans="1:4" x14ac:dyDescent="0.25">
      <c r="A141">
        <v>45</v>
      </c>
      <c r="B141" s="5">
        <f t="shared" si="40"/>
        <v>177827.94100389243</v>
      </c>
      <c r="C141" s="5">
        <f t="shared" si="41"/>
        <v>5.6645552525805467</v>
      </c>
      <c r="D141" s="5">
        <f t="shared" si="39"/>
        <v>48.362844542935854</v>
      </c>
    </row>
    <row r="142" spans="1:4" x14ac:dyDescent="0.25">
      <c r="A142">
        <v>46</v>
      </c>
      <c r="B142" s="5">
        <f t="shared" si="40"/>
        <v>199526.23149688818</v>
      </c>
      <c r="C142" s="5">
        <f t="shared" si="41"/>
        <v>4.4517326719172381</v>
      </c>
      <c r="D142" s="5">
        <f t="shared" si="39"/>
        <v>48.384468200967618</v>
      </c>
    </row>
    <row r="143" spans="1:4" x14ac:dyDescent="0.25">
      <c r="A143">
        <v>47</v>
      </c>
      <c r="B143" s="5">
        <f t="shared" si="40"/>
        <v>223872.11385683392</v>
      </c>
      <c r="C143" s="5">
        <f t="shared" si="41"/>
        <v>3.245584587706527</v>
      </c>
      <c r="D143" s="5">
        <f t="shared" si="39"/>
        <v>47.961994818888101</v>
      </c>
    </row>
    <row r="144" spans="1:4" x14ac:dyDescent="0.25">
      <c r="A144">
        <v>48</v>
      </c>
      <c r="B144" s="5">
        <f t="shared" si="40"/>
        <v>251188.64315095806</v>
      </c>
      <c r="C144" s="5">
        <f t="shared" si="41"/>
        <v>2.037960904798322</v>
      </c>
      <c r="D144" s="5">
        <f t="shared" si="39"/>
        <v>47.076491035295938</v>
      </c>
    </row>
    <row r="145" spans="1:4" x14ac:dyDescent="0.25">
      <c r="A145">
        <v>49</v>
      </c>
      <c r="B145" s="5">
        <f t="shared" si="40"/>
        <v>281838.29312644555</v>
      </c>
      <c r="C145" s="5">
        <f t="shared" si="41"/>
        <v>0.82049450934772183</v>
      </c>
      <c r="D145" s="5">
        <f t="shared" si="39"/>
        <v>45.711367167017407</v>
      </c>
    </row>
    <row r="146" spans="1:4" x14ac:dyDescent="0.25">
      <c r="A146">
        <v>50</v>
      </c>
      <c r="B146" s="5">
        <f t="shared" si="40"/>
        <v>316227.76601683826</v>
      </c>
      <c r="C146" s="5">
        <f t="shared" si="41"/>
        <v>-0.41543401066768632</v>
      </c>
      <c r="D146" s="5">
        <f t="shared" si="39"/>
        <v>43.852089577946565</v>
      </c>
    </row>
    <row r="147" spans="1:4" x14ac:dyDescent="0.25">
      <c r="A147">
        <v>51</v>
      </c>
      <c r="B147" s="5">
        <f t="shared" si="40"/>
        <v>354813.38923357567</v>
      </c>
      <c r="C147" s="5">
        <f t="shared" si="41"/>
        <v>-1.6787204476837079</v>
      </c>
      <c r="D147" s="5">
        <f t="shared" si="39"/>
        <v>41.486324935870975</v>
      </c>
    </row>
    <row r="148" spans="1:4" x14ac:dyDescent="0.25">
      <c r="A148">
        <v>52</v>
      </c>
      <c r="B148" s="5">
        <f t="shared" si="40"/>
        <v>398107.17055349762</v>
      </c>
      <c r="C148" s="5">
        <f t="shared" si="41"/>
        <v>-2.978521653100064</v>
      </c>
      <c r="D148" s="5">
        <f t="shared" si="39"/>
        <v>38.604536382989401</v>
      </c>
    </row>
    <row r="149" spans="1:4" x14ac:dyDescent="0.25">
      <c r="A149">
        <v>53</v>
      </c>
      <c r="B149" s="5">
        <f t="shared" si="40"/>
        <v>446683.59215096373</v>
      </c>
      <c r="C149" s="5">
        <f t="shared" si="41"/>
        <v>-4.3241781898627272</v>
      </c>
      <c r="D149" s="5">
        <f t="shared" si="39"/>
        <v>35.20100115684928</v>
      </c>
    </row>
    <row r="150" spans="1:4" x14ac:dyDescent="0.25">
      <c r="A150">
        <v>54</v>
      </c>
      <c r="B150" s="5">
        <f t="shared" si="40"/>
        <v>501187.23362727271</v>
      </c>
      <c r="C150" s="5">
        <f t="shared" si="41"/>
        <v>-5.7250626456976139</v>
      </c>
      <c r="D150" s="5">
        <f t="shared" si="39"/>
        <v>31.275162097902111</v>
      </c>
    </row>
    <row r="151" spans="1:4" x14ac:dyDescent="0.25">
      <c r="A151">
        <v>55</v>
      </c>
      <c r="B151" s="5">
        <f t="shared" si="40"/>
        <v>562341.32519034925</v>
      </c>
      <c r="C151" s="5">
        <f t="shared" si="41"/>
        <v>-7.1903561908045477</v>
      </c>
      <c r="D151" s="5">
        <f t="shared" si="39"/>
        <v>26.833160958559795</v>
      </c>
    </row>
    <row r="152" spans="1:4" x14ac:dyDescent="0.25">
      <c r="A152">
        <v>56</v>
      </c>
      <c r="B152" s="5">
        <f t="shared" si="40"/>
        <v>630957.3444801938</v>
      </c>
      <c r="C152" s="5">
        <f t="shared" si="41"/>
        <v>-8.7287732508414955</v>
      </c>
      <c r="D152" s="5">
        <f t="shared" si="39"/>
        <v>21.889337320720021</v>
      </c>
    </row>
    <row r="153" spans="1:4" x14ac:dyDescent="0.25">
      <c r="A153">
        <v>57</v>
      </c>
      <c r="B153" s="5">
        <f t="shared" si="40"/>
        <v>707945.78438413749</v>
      </c>
      <c r="C153" s="5">
        <f t="shared" si="41"/>
        <v>-10.34826907018693</v>
      </c>
      <c r="D153" s="5">
        <f t="shared" si="39"/>
        <v>16.467430774876032</v>
      </c>
    </row>
    <row r="154" spans="1:4" x14ac:dyDescent="0.25">
      <c r="A154">
        <v>58</v>
      </c>
      <c r="B154" s="5">
        <f t="shared" si="40"/>
        <v>794328.23472428205</v>
      </c>
      <c r="C154" s="5">
        <f t="shared" si="41"/>
        <v>-12.05577139804298</v>
      </c>
      <c r="D154" s="5">
        <f t="shared" si="39"/>
        <v>10.601218613832463</v>
      </c>
    </row>
    <row r="155" spans="1:4" x14ac:dyDescent="0.25">
      <c r="A155">
        <v>59</v>
      </c>
      <c r="B155" s="5">
        <f t="shared" si="40"/>
        <v>891250.9381337458</v>
      </c>
      <c r="C155" s="5">
        <f t="shared" si="41"/>
        <v>-13.856971422003642</v>
      </c>
      <c r="D155" s="5">
        <f t="shared" si="39"/>
        <v>4.3343738737044264</v>
      </c>
    </row>
    <row r="156" spans="1:4" x14ac:dyDescent="0.25">
      <c r="A156">
        <v>60</v>
      </c>
      <c r="B156" s="5">
        <f t="shared" si="40"/>
        <v>1000000</v>
      </c>
      <c r="C156" s="5">
        <f t="shared" si="41"/>
        <v>-15.756191774587428</v>
      </c>
      <c r="D156" s="5">
        <f t="shared" si="39"/>
        <v>-2.2805622450749761</v>
      </c>
    </row>
    <row r="157" spans="1:4" x14ac:dyDescent="0.25">
      <c r="A157">
        <v>61</v>
      </c>
      <c r="B157" s="5">
        <f t="shared" si="40"/>
        <v>1122018.4543019636</v>
      </c>
      <c r="C157" s="5">
        <f t="shared" si="41"/>
        <v>-17.756328732095568</v>
      </c>
      <c r="D157" s="5">
        <f t="shared" si="39"/>
        <v>-9.1840592452740353</v>
      </c>
    </row>
    <row r="158" spans="1:4" x14ac:dyDescent="0.25">
      <c r="A158">
        <v>62</v>
      </c>
      <c r="B158" s="5">
        <f t="shared" si="40"/>
        <v>1258925.4117941679</v>
      </c>
      <c r="C158" s="5">
        <f t="shared" si="41"/>
        <v>-19.858852211732266</v>
      </c>
      <c r="D158" s="5">
        <f t="shared" si="39"/>
        <v>-16.312161273605312</v>
      </c>
    </row>
    <row r="159" spans="1:4" x14ac:dyDescent="0.25">
      <c r="A159">
        <v>63</v>
      </c>
      <c r="B159" s="5">
        <f t="shared" si="40"/>
        <v>1412537.5446227544</v>
      </c>
      <c r="C159" s="5">
        <f t="shared" si="41"/>
        <v>-22.063847719852969</v>
      </c>
      <c r="D159" s="5">
        <f t="shared" si="39"/>
        <v>-23.599477607692421</v>
      </c>
    </row>
    <row r="160" spans="1:4" x14ac:dyDescent="0.25">
      <c r="A160">
        <v>64</v>
      </c>
      <c r="B160" s="5">
        <f t="shared" si="40"/>
        <v>1584893.1924611155</v>
      </c>
      <c r="C160" s="5">
        <f t="shared" ref="C160:C191" si="42">20*LOG10(C$70*C$67/C$78/(C$86+C$87)/(2*PI()*B160)^2*SQRT((2*PI()*B160/C$79)^2+1)/(SQRT((2*PI()*B160/C$80)^2+1))/SQRT(((2*PI()*B160/C$81)^2+1)^2+(2*PI()*B160/C$81/C$82)^2))</f>
        <v>-24.370097200456826</v>
      </c>
      <c r="D160" s="5">
        <f t="shared" si="39"/>
        <v>-30.98229421992222</v>
      </c>
    </row>
    <row r="161" spans="1:4" x14ac:dyDescent="0.25">
      <c r="A161">
        <v>65</v>
      </c>
      <c r="B161" s="5">
        <f t="shared" si="40"/>
        <v>1778279.4100389243</v>
      </c>
      <c r="C161" s="5">
        <f t="shared" si="42"/>
        <v>-26.775210954131104</v>
      </c>
      <c r="D161" s="5">
        <f t="shared" ref="D161:D196" si="43">180/PI()*(ATAN(2*PI()*B161/C$79)-ATAN(2*PI()*B161/C$80)-ATAN2((-1*(2*PI()*B161/C$81)^2+1),(2*PI()*B161/C$81/C$82)))</f>
        <v>-38.401484747022558</v>
      </c>
    </row>
    <row r="162" spans="1:4" x14ac:dyDescent="0.25">
      <c r="A162">
        <v>66</v>
      </c>
      <c r="B162" s="5">
        <f t="shared" ref="B162:B196" si="44">$B$93*10^(A162/100*(LOG10($B$94/$B$93)))</f>
        <v>1995262.3149688824</v>
      </c>
      <c r="C162" s="5">
        <f t="shared" si="42"/>
        <v>-29.27582883685869</v>
      </c>
      <c r="D162" s="5">
        <f t="shared" si="43"/>
        <v>-45.804901709198901</v>
      </c>
    </row>
    <row r="163" spans="1:4" x14ac:dyDescent="0.25">
      <c r="A163">
        <v>67</v>
      </c>
      <c r="B163" s="5">
        <f t="shared" si="44"/>
        <v>2238721.1385683417</v>
      </c>
      <c r="C163" s="5">
        <f t="shared" si="42"/>
        <v>-31.867899903272882</v>
      </c>
      <c r="D163" s="5">
        <f t="shared" si="43"/>
        <v>-53.148958044413355</v>
      </c>
    </row>
    <row r="164" spans="1:4" x14ac:dyDescent="0.25">
      <c r="A164">
        <v>68</v>
      </c>
      <c r="B164" s="5">
        <f t="shared" si="44"/>
        <v>2511886.4315095833</v>
      </c>
      <c r="C164" s="5">
        <f t="shared" si="42"/>
        <v>-34.54702880256972</v>
      </c>
      <c r="D164" s="5">
        <f t="shared" si="43"/>
        <v>-60.399185969285355</v>
      </c>
    </row>
    <row r="165" spans="1:4" x14ac:dyDescent="0.25">
      <c r="A165">
        <v>69</v>
      </c>
      <c r="B165" s="5">
        <f t="shared" si="44"/>
        <v>2818382.9312644536</v>
      </c>
      <c r="C165" s="5">
        <f t="shared" si="42"/>
        <v>-37.308854316574326</v>
      </c>
      <c r="D165" s="5">
        <f t="shared" si="43"/>
        <v>-67.529694812726703</v>
      </c>
    </row>
    <row r="166" spans="1:4" x14ac:dyDescent="0.25">
      <c r="A166">
        <v>70</v>
      </c>
      <c r="B166" s="5">
        <f t="shared" si="44"/>
        <v>3162277.6601683805</v>
      </c>
      <c r="C166" s="5">
        <f t="shared" si="42"/>
        <v>-40.149410313742223</v>
      </c>
      <c r="D166" s="5">
        <f t="shared" si="43"/>
        <v>-74.521624222307082</v>
      </c>
    </row>
    <row r="167" spans="1:4" x14ac:dyDescent="0.25">
      <c r="A167">
        <v>71</v>
      </c>
      <c r="B167" s="5">
        <f t="shared" si="44"/>
        <v>3548133.8923357539</v>
      </c>
      <c r="C167" s="5">
        <f t="shared" si="42"/>
        <v>-43.065416879218425</v>
      </c>
      <c r="D167" s="5">
        <f t="shared" si="43"/>
        <v>-81.360864638504054</v>
      </c>
    </row>
    <row r="168" spans="1:4" x14ac:dyDescent="0.25">
      <c r="A168">
        <v>72</v>
      </c>
      <c r="B168" s="5">
        <f t="shared" si="44"/>
        <v>3981071.7055349699</v>
      </c>
      <c r="C168" s="5">
        <f t="shared" si="42"/>
        <v>-46.054458326495137</v>
      </c>
      <c r="D168" s="5">
        <f t="shared" si="43"/>
        <v>-88.035451364269392</v>
      </c>
    </row>
    <row r="169" spans="1:4" x14ac:dyDescent="0.25">
      <c r="A169">
        <v>73</v>
      </c>
      <c r="B169" s="5">
        <f t="shared" si="44"/>
        <v>4466835.9215096347</v>
      </c>
      <c r="C169" s="5">
        <f t="shared" si="42"/>
        <v>-49.115020915878929</v>
      </c>
      <c r="D169" s="5">
        <f t="shared" si="43"/>
        <v>-94.533102481894687</v>
      </c>
    </row>
    <row r="170" spans="1:4" x14ac:dyDescent="0.25">
      <c r="A170">
        <v>74</v>
      </c>
      <c r="B170" s="5">
        <f t="shared" si="44"/>
        <v>5011872.3362727324</v>
      </c>
      <c r="C170" s="5">
        <f t="shared" si="42"/>
        <v>-52.246382449273796</v>
      </c>
      <c r="D170" s="5">
        <f t="shared" si="43"/>
        <v>-100.83934956052124</v>
      </c>
    </row>
    <row r="171" spans="1:4" x14ac:dyDescent="0.25">
      <c r="A171">
        <v>75</v>
      </c>
      <c r="B171" s="5">
        <f t="shared" si="44"/>
        <v>5623413.2519034995</v>
      </c>
      <c r="C171" s="5">
        <f t="shared" si="42"/>
        <v>-55.448366449940252</v>
      </c>
      <c r="D171" s="5">
        <f t="shared" si="43"/>
        <v>-106.93660060211741</v>
      </c>
    </row>
    <row r="172" spans="1:4" x14ac:dyDescent="0.25">
      <c r="A172">
        <v>76</v>
      </c>
      <c r="B172" s="5">
        <f t="shared" si="44"/>
        <v>6309573.4448019387</v>
      </c>
      <c r="C172" s="5">
        <f t="shared" si="42"/>
        <v>-58.720994394586569</v>
      </c>
      <c r="D172" s="5">
        <f t="shared" si="43"/>
        <v>-112.80428794421398</v>
      </c>
    </row>
    <row r="173" spans="1:4" x14ac:dyDescent="0.25">
      <c r="A173">
        <v>77</v>
      </c>
      <c r="B173" s="5">
        <f t="shared" si="44"/>
        <v>7079457.8438413832</v>
      </c>
      <c r="C173" s="5">
        <f t="shared" si="42"/>
        <v>-62.064088444735731</v>
      </c>
      <c r="D173" s="5">
        <f t="shared" si="43"/>
        <v>-118.42002250970617</v>
      </c>
    </row>
    <row r="174" spans="1:4" x14ac:dyDescent="0.25">
      <c r="A174">
        <v>78</v>
      </c>
      <c r="B174" s="5">
        <f t="shared" si="44"/>
        <v>7943282.3472428303</v>
      </c>
      <c r="C174" s="5">
        <f t="shared" si="42"/>
        <v>-65.476889987162593</v>
      </c>
      <c r="D174" s="5">
        <f t="shared" si="43"/>
        <v>-123.76145646055676</v>
      </c>
    </row>
    <row r="175" spans="1:4" x14ac:dyDescent="0.25">
      <c r="A175">
        <v>79</v>
      </c>
      <c r="B175" s="5">
        <f t="shared" si="44"/>
        <v>8912509.3813374676</v>
      </c>
      <c r="C175" s="5">
        <f t="shared" si="42"/>
        <v>-68.95776034727777</v>
      </c>
      <c r="D175" s="5">
        <f t="shared" si="43"/>
        <v>-128.808414654041</v>
      </c>
    </row>
    <row r="176" spans="1:4" x14ac:dyDescent="0.25">
      <c r="A176">
        <v>80</v>
      </c>
      <c r="B176" s="5">
        <f t="shared" si="44"/>
        <v>10000000</v>
      </c>
      <c r="C176" s="5">
        <f t="shared" si="42"/>
        <v>-72.504015519312787</v>
      </c>
      <c r="D176" s="5">
        <f t="shared" si="43"/>
        <v>-133.54483649435414</v>
      </c>
    </row>
    <row r="177" spans="1:4" x14ac:dyDescent="0.25">
      <c r="A177">
        <v>81</v>
      </c>
      <c r="B177" s="5">
        <f t="shared" si="44"/>
        <v>11220184.54301966</v>
      </c>
      <c r="C177" s="5">
        <f t="shared" si="42"/>
        <v>-76.111918368760087</v>
      </c>
      <c r="D177" s="5">
        <f t="shared" si="43"/>
        <v>-137.96017320784517</v>
      </c>
    </row>
    <row r="178" spans="1:4" x14ac:dyDescent="0.25">
      <c r="A178">
        <v>82</v>
      </c>
      <c r="B178" s="5">
        <f t="shared" si="44"/>
        <v>12589254.117941672</v>
      </c>
      <c r="C178" s="5">
        <f t="shared" si="42"/>
        <v>-79.776817526675472</v>
      </c>
      <c r="D178" s="5">
        <f t="shared" si="43"/>
        <v>-142.05006400641898</v>
      </c>
    </row>
    <row r="179" spans="1:4" x14ac:dyDescent="0.25">
      <c r="A179">
        <v>83</v>
      </c>
      <c r="B179" s="5">
        <f t="shared" si="44"/>
        <v>14125375.446227536</v>
      </c>
      <c r="C179" s="5">
        <f t="shared" si="42"/>
        <v>-83.493393202550706</v>
      </c>
      <c r="D179" s="5">
        <f t="shared" si="43"/>
        <v>-145.81629970158113</v>
      </c>
    </row>
    <row r="180" spans="1:4" x14ac:dyDescent="0.25">
      <c r="A180">
        <v>84</v>
      </c>
      <c r="B180" s="5">
        <f t="shared" si="44"/>
        <v>15848931.924611146</v>
      </c>
      <c r="C180" s="5">
        <f t="shared" si="42"/>
        <v>-87.255955066600251</v>
      </c>
      <c r="D180" s="5">
        <f t="shared" si="43"/>
        <v>-149.26621818088418</v>
      </c>
    </row>
    <row r="181" spans="1:4" x14ac:dyDescent="0.25">
      <c r="A181">
        <v>85</v>
      </c>
      <c r="B181" s="5">
        <f t="shared" si="44"/>
        <v>17782794.100389235</v>
      </c>
      <c r="C181" s="5">
        <f t="shared" si="42"/>
        <v>-91.058738501714998</v>
      </c>
      <c r="D181" s="5">
        <f t="shared" si="43"/>
        <v>-152.41173926214009</v>
      </c>
    </row>
    <row r="182" spans="1:4" x14ac:dyDescent="0.25">
      <c r="A182">
        <v>86</v>
      </c>
      <c r="B182" s="5">
        <f t="shared" si="44"/>
        <v>19952623.149688791</v>
      </c>
      <c r="C182" s="5">
        <f t="shared" si="42"/>
        <v>-94.896158863321773</v>
      </c>
      <c r="D182" s="5">
        <f t="shared" si="43"/>
        <v>-155.26824458893779</v>
      </c>
    </row>
    <row r="183" spans="1:4" x14ac:dyDescent="0.25">
      <c r="A183">
        <v>87</v>
      </c>
      <c r="B183" s="5">
        <f t="shared" si="44"/>
        <v>22387211.385683384</v>
      </c>
      <c r="C183" s="5">
        <f t="shared" si="42"/>
        <v>-98.76300177769042</v>
      </c>
      <c r="D183" s="5">
        <f t="shared" si="43"/>
        <v>-157.8534660244911</v>
      </c>
    </row>
    <row r="184" spans="1:4" x14ac:dyDescent="0.25">
      <c r="A184">
        <v>88</v>
      </c>
      <c r="B184" s="5">
        <f t="shared" si="44"/>
        <v>25118864.315095861</v>
      </c>
      <c r="C184" s="5">
        <f t="shared" si="42"/>
        <v>-102.65454449789436</v>
      </c>
      <c r="D184" s="5">
        <f t="shared" si="43"/>
        <v>-160.18648940632679</v>
      </c>
    </row>
    <row r="185" spans="1:4" x14ac:dyDescent="0.25">
      <c r="A185">
        <v>89</v>
      </c>
      <c r="B185" s="5">
        <f t="shared" si="44"/>
        <v>28183829.312644593</v>
      </c>
      <c r="C185" s="5">
        <f t="shared" si="42"/>
        <v>-106.56661527554883</v>
      </c>
      <c r="D185" s="5">
        <f t="shared" si="43"/>
        <v>-162.28692789952876</v>
      </c>
    </row>
    <row r="186" spans="1:4" x14ac:dyDescent="0.25">
      <c r="A186">
        <v>90</v>
      </c>
      <c r="B186" s="5">
        <f t="shared" si="44"/>
        <v>31622776.60168384</v>
      </c>
      <c r="C186" s="5">
        <f t="shared" si="42"/>
        <v>-110.49560386493992</v>
      </c>
      <c r="D186" s="5">
        <f t="shared" si="43"/>
        <v>-164.17427939985771</v>
      </c>
    </row>
    <row r="187" spans="1:4" x14ac:dyDescent="0.25">
      <c r="A187">
        <v>91</v>
      </c>
      <c r="B187" s="5">
        <f t="shared" si="44"/>
        <v>35481338.923357584</v>
      </c>
      <c r="C187" s="5">
        <f t="shared" si="42"/>
        <v>-114.43843777248902</v>
      </c>
      <c r="D187" s="5">
        <f t="shared" si="43"/>
        <v>-165.86745712618961</v>
      </c>
    </row>
    <row r="188" spans="1:4" x14ac:dyDescent="0.25">
      <c r="A188">
        <v>92</v>
      </c>
      <c r="B188" s="5">
        <f t="shared" si="44"/>
        <v>39810717.055349812</v>
      </c>
      <c r="C188" s="5">
        <f t="shared" si="42"/>
        <v>-118.39253745201263</v>
      </c>
      <c r="D188" s="5">
        <f t="shared" si="43"/>
        <v>-167.38446941369796</v>
      </c>
    </row>
    <row r="189" spans="1:4" x14ac:dyDescent="0.25">
      <c r="A189">
        <v>93</v>
      </c>
      <c r="B189" s="5">
        <f t="shared" si="44"/>
        <v>44668359.215096392</v>
      </c>
      <c r="C189" s="5">
        <f t="shared" si="42"/>
        <v>-122.3557609074799</v>
      </c>
      <c r="D189" s="5">
        <f t="shared" si="43"/>
        <v>-168.74222018876679</v>
      </c>
    </row>
    <row r="190" spans="1:4" x14ac:dyDescent="0.25">
      <c r="A190">
        <v>94</v>
      </c>
      <c r="B190" s="5">
        <f t="shared" si="44"/>
        <v>50118723.36272721</v>
      </c>
      <c r="C190" s="5">
        <f t="shared" si="42"/>
        <v>-126.32634518776121</v>
      </c>
      <c r="D190" s="5">
        <f t="shared" si="43"/>
        <v>-169.95640230030907</v>
      </c>
    </row>
    <row r="191" spans="1:4" x14ac:dyDescent="0.25">
      <c r="A191">
        <v>95</v>
      </c>
      <c r="B191" s="5">
        <f t="shared" si="44"/>
        <v>56234132.519034952</v>
      </c>
      <c r="C191" s="5">
        <f t="shared" si="42"/>
        <v>-130.30284963219228</v>
      </c>
      <c r="D191" s="5">
        <f t="shared" si="43"/>
        <v>-171.04145923786126</v>
      </c>
    </row>
    <row r="192" spans="1:4" x14ac:dyDescent="0.25">
      <c r="A192">
        <v>96</v>
      </c>
      <c r="B192" s="5">
        <f t="shared" si="44"/>
        <v>63095734.448019341</v>
      </c>
      <c r="C192" s="5">
        <f t="shared" ref="C192:C196" si="45">20*LOG10(C$70*C$67/C$78/(C$86+C$87)/(2*PI()*B192)^2*SQRT((2*PI()*B192/C$79)^2+1)/(SQRT((2*PI()*B192/C$80)^2+1))/SQRT(((2*PI()*B192/C$81)^2+1)^2+(2*PI()*B192/C$81/C$82)^2))</f>
        <v>-134.28410367707349</v>
      </c>
      <c r="D192" s="5">
        <f t="shared" si="43"/>
        <v>-172.01059509856466</v>
      </c>
    </row>
    <row r="193" spans="1:4" x14ac:dyDescent="0.25">
      <c r="A193">
        <v>97</v>
      </c>
      <c r="B193" s="5">
        <f t="shared" si="44"/>
        <v>70794578.438413784</v>
      </c>
      <c r="C193" s="5">
        <f t="shared" si="45"/>
        <v>-138.26916057195743</v>
      </c>
      <c r="D193" s="5">
        <f t="shared" si="43"/>
        <v>-172.87581699749168</v>
      </c>
    </row>
    <row r="194" spans="1:4" x14ac:dyDescent="0.25">
      <c r="A194">
        <v>98</v>
      </c>
      <c r="B194" s="5">
        <f t="shared" si="44"/>
        <v>79432823.472428232</v>
      </c>
      <c r="C194" s="5">
        <f t="shared" si="45"/>
        <v>-142.25725739102535</v>
      </c>
      <c r="D194" s="5">
        <f t="shared" si="43"/>
        <v>-173.64799796668717</v>
      </c>
    </row>
    <row r="195" spans="1:4" x14ac:dyDescent="0.25">
      <c r="A195">
        <v>99</v>
      </c>
      <c r="B195" s="5">
        <f t="shared" si="44"/>
        <v>89125093.813374609</v>
      </c>
      <c r="C195" s="5">
        <f t="shared" si="45"/>
        <v>-146.24778114008888</v>
      </c>
      <c r="D195" s="5">
        <f t="shared" si="43"/>
        <v>-174.33695158082153</v>
      </c>
    </row>
    <row r="196" spans="1:4" x14ac:dyDescent="0.25">
      <c r="A196">
        <v>100</v>
      </c>
      <c r="B196" s="5">
        <f t="shared" si="44"/>
        <v>100000000</v>
      </c>
      <c r="C196" s="5">
        <f t="shared" si="45"/>
        <v>-150.24024044190446</v>
      </c>
      <c r="D196" s="5">
        <f t="shared" si="43"/>
        <v>-174.9515120731572</v>
      </c>
    </row>
  </sheetData>
  <dataValidations count="2">
    <dataValidation type="list" allowBlank="1" showInputMessage="1" showErrorMessage="1" sqref="C17:J17">
      <formula1>$B$73:$B$74</formula1>
    </dataValidation>
    <dataValidation type="list" allowBlank="1" showInputMessage="1" showErrorMessage="1" sqref="C18:J18">
      <formula1>$B$75:$B$77</formula1>
    </dataValidation>
  </dataValidations>
  <pageMargins left="0.25" right="0.25" top="0.75" bottom="0.75" header="0.3" footer="0.3"/>
  <pageSetup scale="53" orientation="landscape" r:id="rId1"/>
  <ignoredErrors>
    <ignoredError sqref="C46:J46 C48:J48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28"/>
  <sheetViews>
    <sheetView zoomScale="70" zoomScaleNormal="70" workbookViewId="0">
      <selection activeCell="AH6" sqref="AH6:AH7"/>
    </sheetView>
  </sheetViews>
  <sheetFormatPr defaultRowHeight="15" x14ac:dyDescent="0.25"/>
  <cols>
    <col min="1" max="1" width="20.140625" bestFit="1" customWidth="1"/>
    <col min="2" max="2" width="8.5703125" bestFit="1" customWidth="1"/>
    <col min="3" max="3" width="14.42578125" bestFit="1" customWidth="1"/>
    <col min="4" max="4" width="2.5703125" customWidth="1"/>
    <col min="5" max="5" width="10.85546875" customWidth="1"/>
    <col min="6" max="6" width="20.28515625" hidden="1" customWidth="1"/>
    <col min="7" max="7" width="18.5703125" style="80" hidden="1" customWidth="1"/>
    <col min="8" max="8" width="12.28515625" hidden="1" customWidth="1"/>
    <col min="9" max="9" width="11.28515625" hidden="1" customWidth="1"/>
    <col min="10" max="12" width="11.85546875" hidden="1" customWidth="1"/>
    <col min="13" max="15" width="0" hidden="1" customWidth="1"/>
    <col min="16" max="16" width="10" customWidth="1"/>
    <col min="17" max="17" width="10" hidden="1" customWidth="1"/>
    <col min="18" max="18" width="10" customWidth="1"/>
    <col min="19" max="19" width="10" hidden="1" customWidth="1"/>
    <col min="20" max="20" width="10" customWidth="1"/>
    <col min="21" max="21" width="10" hidden="1" customWidth="1"/>
    <col min="22" max="22" width="10" customWidth="1"/>
    <col min="23" max="23" width="10" hidden="1" customWidth="1"/>
    <col min="24" max="24" width="17.140625" hidden="1" customWidth="1"/>
    <col min="25" max="25" width="10.5703125" hidden="1" customWidth="1"/>
    <col min="26" max="28" width="11.28515625" hidden="1" customWidth="1"/>
    <col min="29" max="29" width="11.28515625" customWidth="1"/>
    <col min="30" max="30" width="11.28515625" hidden="1" customWidth="1"/>
    <col min="31" max="31" width="10" customWidth="1"/>
    <col min="32" max="32" width="10" hidden="1" customWidth="1"/>
    <col min="33" max="33" width="8.85546875" bestFit="1" customWidth="1"/>
    <col min="34" max="34" width="9" customWidth="1"/>
    <col min="35" max="35" width="9.5703125" hidden="1" customWidth="1"/>
    <col min="36" max="36" width="9.5703125" customWidth="1"/>
    <col min="37" max="37" width="12.42578125" bestFit="1" customWidth="1"/>
    <col min="38" max="38" width="11" customWidth="1"/>
    <col min="39" max="39" width="32.42578125" customWidth="1"/>
    <col min="40" max="40" width="9.28515625" bestFit="1" customWidth="1"/>
    <col min="274" max="274" width="20.140625" bestFit="1" customWidth="1"/>
    <col min="275" max="275" width="8.5703125" bestFit="1" customWidth="1"/>
    <col min="276" max="276" width="14.42578125" bestFit="1" customWidth="1"/>
    <col min="277" max="277" width="2.5703125" customWidth="1"/>
    <col min="278" max="278" width="10.85546875" customWidth="1"/>
    <col min="279" max="279" width="11" customWidth="1"/>
    <col min="280" max="283" width="11.5703125" bestFit="1" customWidth="1"/>
    <col min="284" max="284" width="7.5703125" bestFit="1" customWidth="1"/>
    <col min="285" max="285" width="11.85546875" customWidth="1"/>
    <col min="287" max="287" width="10" customWidth="1"/>
    <col min="288" max="288" width="9" customWidth="1"/>
    <col min="289" max="289" width="10.140625" customWidth="1"/>
    <col min="290" max="290" width="9" customWidth="1"/>
    <col min="291" max="291" width="8.5703125" customWidth="1"/>
    <col min="292" max="292" width="8.85546875" customWidth="1"/>
    <col min="293" max="293" width="8.28515625" customWidth="1"/>
    <col min="294" max="294" width="9.5703125" customWidth="1"/>
    <col min="295" max="295" width="32.42578125" customWidth="1"/>
    <col min="296" max="296" width="9.28515625" bestFit="1" customWidth="1"/>
    <col min="530" max="530" width="20.140625" bestFit="1" customWidth="1"/>
    <col min="531" max="531" width="8.5703125" bestFit="1" customWidth="1"/>
    <col min="532" max="532" width="14.42578125" bestFit="1" customWidth="1"/>
    <col min="533" max="533" width="2.5703125" customWidth="1"/>
    <col min="534" max="534" width="10.85546875" customWidth="1"/>
    <col min="535" max="535" width="11" customWidth="1"/>
    <col min="536" max="539" width="11.5703125" bestFit="1" customWidth="1"/>
    <col min="540" max="540" width="7.5703125" bestFit="1" customWidth="1"/>
    <col min="541" max="541" width="11.85546875" customWidth="1"/>
    <col min="543" max="543" width="10" customWidth="1"/>
    <col min="544" max="544" width="9" customWidth="1"/>
    <col min="545" max="545" width="10.140625" customWidth="1"/>
    <col min="546" max="546" width="9" customWidth="1"/>
    <col min="547" max="547" width="8.5703125" customWidth="1"/>
    <col min="548" max="548" width="8.85546875" customWidth="1"/>
    <col min="549" max="549" width="8.28515625" customWidth="1"/>
    <col min="550" max="550" width="9.5703125" customWidth="1"/>
    <col min="551" max="551" width="32.42578125" customWidth="1"/>
    <col min="552" max="552" width="9.28515625" bestFit="1" customWidth="1"/>
    <col min="786" max="786" width="20.140625" bestFit="1" customWidth="1"/>
    <col min="787" max="787" width="8.5703125" bestFit="1" customWidth="1"/>
    <col min="788" max="788" width="14.42578125" bestFit="1" customWidth="1"/>
    <col min="789" max="789" width="2.5703125" customWidth="1"/>
    <col min="790" max="790" width="10.85546875" customWidth="1"/>
    <col min="791" max="791" width="11" customWidth="1"/>
    <col min="792" max="795" width="11.5703125" bestFit="1" customWidth="1"/>
    <col min="796" max="796" width="7.5703125" bestFit="1" customWidth="1"/>
    <col min="797" max="797" width="11.85546875" customWidth="1"/>
    <col min="799" max="799" width="10" customWidth="1"/>
    <col min="800" max="800" width="9" customWidth="1"/>
    <col min="801" max="801" width="10.140625" customWidth="1"/>
    <col min="802" max="802" width="9" customWidth="1"/>
    <col min="803" max="803" width="8.5703125" customWidth="1"/>
    <col min="804" max="804" width="8.85546875" customWidth="1"/>
    <col min="805" max="805" width="8.28515625" customWidth="1"/>
    <col min="806" max="806" width="9.5703125" customWidth="1"/>
    <col min="807" max="807" width="32.42578125" customWidth="1"/>
    <col min="808" max="808" width="9.28515625" bestFit="1" customWidth="1"/>
    <col min="1042" max="1042" width="20.140625" bestFit="1" customWidth="1"/>
    <col min="1043" max="1043" width="8.5703125" bestFit="1" customWidth="1"/>
    <col min="1044" max="1044" width="14.42578125" bestFit="1" customWidth="1"/>
    <col min="1045" max="1045" width="2.5703125" customWidth="1"/>
    <col min="1046" max="1046" width="10.85546875" customWidth="1"/>
    <col min="1047" max="1047" width="11" customWidth="1"/>
    <col min="1048" max="1051" width="11.5703125" bestFit="1" customWidth="1"/>
    <col min="1052" max="1052" width="7.5703125" bestFit="1" customWidth="1"/>
    <col min="1053" max="1053" width="11.85546875" customWidth="1"/>
    <col min="1055" max="1055" width="10" customWidth="1"/>
    <col min="1056" max="1056" width="9" customWidth="1"/>
    <col min="1057" max="1057" width="10.140625" customWidth="1"/>
    <col min="1058" max="1058" width="9" customWidth="1"/>
    <col min="1059" max="1059" width="8.5703125" customWidth="1"/>
    <col min="1060" max="1060" width="8.85546875" customWidth="1"/>
    <col min="1061" max="1061" width="8.28515625" customWidth="1"/>
    <col min="1062" max="1062" width="9.5703125" customWidth="1"/>
    <col min="1063" max="1063" width="32.42578125" customWidth="1"/>
    <col min="1064" max="1064" width="9.28515625" bestFit="1" customWidth="1"/>
    <col min="1298" max="1298" width="20.140625" bestFit="1" customWidth="1"/>
    <col min="1299" max="1299" width="8.5703125" bestFit="1" customWidth="1"/>
    <col min="1300" max="1300" width="14.42578125" bestFit="1" customWidth="1"/>
    <col min="1301" max="1301" width="2.5703125" customWidth="1"/>
    <col min="1302" max="1302" width="10.85546875" customWidth="1"/>
    <col min="1303" max="1303" width="11" customWidth="1"/>
    <col min="1304" max="1307" width="11.5703125" bestFit="1" customWidth="1"/>
    <col min="1308" max="1308" width="7.5703125" bestFit="1" customWidth="1"/>
    <col min="1309" max="1309" width="11.85546875" customWidth="1"/>
    <col min="1311" max="1311" width="10" customWidth="1"/>
    <col min="1312" max="1312" width="9" customWidth="1"/>
    <col min="1313" max="1313" width="10.140625" customWidth="1"/>
    <col min="1314" max="1314" width="9" customWidth="1"/>
    <col min="1315" max="1315" width="8.5703125" customWidth="1"/>
    <col min="1316" max="1316" width="8.85546875" customWidth="1"/>
    <col min="1317" max="1317" width="8.28515625" customWidth="1"/>
    <col min="1318" max="1318" width="9.5703125" customWidth="1"/>
    <col min="1319" max="1319" width="32.42578125" customWidth="1"/>
    <col min="1320" max="1320" width="9.28515625" bestFit="1" customWidth="1"/>
    <col min="1554" max="1554" width="20.140625" bestFit="1" customWidth="1"/>
    <col min="1555" max="1555" width="8.5703125" bestFit="1" customWidth="1"/>
    <col min="1556" max="1556" width="14.42578125" bestFit="1" customWidth="1"/>
    <col min="1557" max="1557" width="2.5703125" customWidth="1"/>
    <col min="1558" max="1558" width="10.85546875" customWidth="1"/>
    <col min="1559" max="1559" width="11" customWidth="1"/>
    <col min="1560" max="1563" width="11.5703125" bestFit="1" customWidth="1"/>
    <col min="1564" max="1564" width="7.5703125" bestFit="1" customWidth="1"/>
    <col min="1565" max="1565" width="11.85546875" customWidth="1"/>
    <col min="1567" max="1567" width="10" customWidth="1"/>
    <col min="1568" max="1568" width="9" customWidth="1"/>
    <col min="1569" max="1569" width="10.140625" customWidth="1"/>
    <col min="1570" max="1570" width="9" customWidth="1"/>
    <col min="1571" max="1571" width="8.5703125" customWidth="1"/>
    <col min="1572" max="1572" width="8.85546875" customWidth="1"/>
    <col min="1573" max="1573" width="8.28515625" customWidth="1"/>
    <col min="1574" max="1574" width="9.5703125" customWidth="1"/>
    <col min="1575" max="1575" width="32.42578125" customWidth="1"/>
    <col min="1576" max="1576" width="9.28515625" bestFit="1" customWidth="1"/>
    <col min="1810" max="1810" width="20.140625" bestFit="1" customWidth="1"/>
    <col min="1811" max="1811" width="8.5703125" bestFit="1" customWidth="1"/>
    <col min="1812" max="1812" width="14.42578125" bestFit="1" customWidth="1"/>
    <col min="1813" max="1813" width="2.5703125" customWidth="1"/>
    <col min="1814" max="1814" width="10.85546875" customWidth="1"/>
    <col min="1815" max="1815" width="11" customWidth="1"/>
    <col min="1816" max="1819" width="11.5703125" bestFit="1" customWidth="1"/>
    <col min="1820" max="1820" width="7.5703125" bestFit="1" customWidth="1"/>
    <col min="1821" max="1821" width="11.85546875" customWidth="1"/>
    <col min="1823" max="1823" width="10" customWidth="1"/>
    <col min="1824" max="1824" width="9" customWidth="1"/>
    <col min="1825" max="1825" width="10.140625" customWidth="1"/>
    <col min="1826" max="1826" width="9" customWidth="1"/>
    <col min="1827" max="1827" width="8.5703125" customWidth="1"/>
    <col min="1828" max="1828" width="8.85546875" customWidth="1"/>
    <col min="1829" max="1829" width="8.28515625" customWidth="1"/>
    <col min="1830" max="1830" width="9.5703125" customWidth="1"/>
    <col min="1831" max="1831" width="32.42578125" customWidth="1"/>
    <col min="1832" max="1832" width="9.28515625" bestFit="1" customWidth="1"/>
    <col min="2066" max="2066" width="20.140625" bestFit="1" customWidth="1"/>
    <col min="2067" max="2067" width="8.5703125" bestFit="1" customWidth="1"/>
    <col min="2068" max="2068" width="14.42578125" bestFit="1" customWidth="1"/>
    <col min="2069" max="2069" width="2.5703125" customWidth="1"/>
    <col min="2070" max="2070" width="10.85546875" customWidth="1"/>
    <col min="2071" max="2071" width="11" customWidth="1"/>
    <col min="2072" max="2075" width="11.5703125" bestFit="1" customWidth="1"/>
    <col min="2076" max="2076" width="7.5703125" bestFit="1" customWidth="1"/>
    <col min="2077" max="2077" width="11.85546875" customWidth="1"/>
    <col min="2079" max="2079" width="10" customWidth="1"/>
    <col min="2080" max="2080" width="9" customWidth="1"/>
    <col min="2081" max="2081" width="10.140625" customWidth="1"/>
    <col min="2082" max="2082" width="9" customWidth="1"/>
    <col min="2083" max="2083" width="8.5703125" customWidth="1"/>
    <col min="2084" max="2084" width="8.85546875" customWidth="1"/>
    <col min="2085" max="2085" width="8.28515625" customWidth="1"/>
    <col min="2086" max="2086" width="9.5703125" customWidth="1"/>
    <col min="2087" max="2087" width="32.42578125" customWidth="1"/>
    <col min="2088" max="2088" width="9.28515625" bestFit="1" customWidth="1"/>
    <col min="2322" max="2322" width="20.140625" bestFit="1" customWidth="1"/>
    <col min="2323" max="2323" width="8.5703125" bestFit="1" customWidth="1"/>
    <col min="2324" max="2324" width="14.42578125" bestFit="1" customWidth="1"/>
    <col min="2325" max="2325" width="2.5703125" customWidth="1"/>
    <col min="2326" max="2326" width="10.85546875" customWidth="1"/>
    <col min="2327" max="2327" width="11" customWidth="1"/>
    <col min="2328" max="2331" width="11.5703125" bestFit="1" customWidth="1"/>
    <col min="2332" max="2332" width="7.5703125" bestFit="1" customWidth="1"/>
    <col min="2333" max="2333" width="11.85546875" customWidth="1"/>
    <col min="2335" max="2335" width="10" customWidth="1"/>
    <col min="2336" max="2336" width="9" customWidth="1"/>
    <col min="2337" max="2337" width="10.140625" customWidth="1"/>
    <col min="2338" max="2338" width="9" customWidth="1"/>
    <col min="2339" max="2339" width="8.5703125" customWidth="1"/>
    <col min="2340" max="2340" width="8.85546875" customWidth="1"/>
    <col min="2341" max="2341" width="8.28515625" customWidth="1"/>
    <col min="2342" max="2342" width="9.5703125" customWidth="1"/>
    <col min="2343" max="2343" width="32.42578125" customWidth="1"/>
    <col min="2344" max="2344" width="9.28515625" bestFit="1" customWidth="1"/>
    <col min="2578" max="2578" width="20.140625" bestFit="1" customWidth="1"/>
    <col min="2579" max="2579" width="8.5703125" bestFit="1" customWidth="1"/>
    <col min="2580" max="2580" width="14.42578125" bestFit="1" customWidth="1"/>
    <col min="2581" max="2581" width="2.5703125" customWidth="1"/>
    <col min="2582" max="2582" width="10.85546875" customWidth="1"/>
    <col min="2583" max="2583" width="11" customWidth="1"/>
    <col min="2584" max="2587" width="11.5703125" bestFit="1" customWidth="1"/>
    <col min="2588" max="2588" width="7.5703125" bestFit="1" customWidth="1"/>
    <col min="2589" max="2589" width="11.85546875" customWidth="1"/>
    <col min="2591" max="2591" width="10" customWidth="1"/>
    <col min="2592" max="2592" width="9" customWidth="1"/>
    <col min="2593" max="2593" width="10.140625" customWidth="1"/>
    <col min="2594" max="2594" width="9" customWidth="1"/>
    <col min="2595" max="2595" width="8.5703125" customWidth="1"/>
    <col min="2596" max="2596" width="8.85546875" customWidth="1"/>
    <col min="2597" max="2597" width="8.28515625" customWidth="1"/>
    <col min="2598" max="2598" width="9.5703125" customWidth="1"/>
    <col min="2599" max="2599" width="32.42578125" customWidth="1"/>
    <col min="2600" max="2600" width="9.28515625" bestFit="1" customWidth="1"/>
    <col min="2834" max="2834" width="20.140625" bestFit="1" customWidth="1"/>
    <col min="2835" max="2835" width="8.5703125" bestFit="1" customWidth="1"/>
    <col min="2836" max="2836" width="14.42578125" bestFit="1" customWidth="1"/>
    <col min="2837" max="2837" width="2.5703125" customWidth="1"/>
    <col min="2838" max="2838" width="10.85546875" customWidth="1"/>
    <col min="2839" max="2839" width="11" customWidth="1"/>
    <col min="2840" max="2843" width="11.5703125" bestFit="1" customWidth="1"/>
    <col min="2844" max="2844" width="7.5703125" bestFit="1" customWidth="1"/>
    <col min="2845" max="2845" width="11.85546875" customWidth="1"/>
    <col min="2847" max="2847" width="10" customWidth="1"/>
    <col min="2848" max="2848" width="9" customWidth="1"/>
    <col min="2849" max="2849" width="10.140625" customWidth="1"/>
    <col min="2850" max="2850" width="9" customWidth="1"/>
    <col min="2851" max="2851" width="8.5703125" customWidth="1"/>
    <col min="2852" max="2852" width="8.85546875" customWidth="1"/>
    <col min="2853" max="2853" width="8.28515625" customWidth="1"/>
    <col min="2854" max="2854" width="9.5703125" customWidth="1"/>
    <col min="2855" max="2855" width="32.42578125" customWidth="1"/>
    <col min="2856" max="2856" width="9.28515625" bestFit="1" customWidth="1"/>
    <col min="3090" max="3090" width="20.140625" bestFit="1" customWidth="1"/>
    <col min="3091" max="3091" width="8.5703125" bestFit="1" customWidth="1"/>
    <col min="3092" max="3092" width="14.42578125" bestFit="1" customWidth="1"/>
    <col min="3093" max="3093" width="2.5703125" customWidth="1"/>
    <col min="3094" max="3094" width="10.85546875" customWidth="1"/>
    <col min="3095" max="3095" width="11" customWidth="1"/>
    <col min="3096" max="3099" width="11.5703125" bestFit="1" customWidth="1"/>
    <col min="3100" max="3100" width="7.5703125" bestFit="1" customWidth="1"/>
    <col min="3101" max="3101" width="11.85546875" customWidth="1"/>
    <col min="3103" max="3103" width="10" customWidth="1"/>
    <col min="3104" max="3104" width="9" customWidth="1"/>
    <col min="3105" max="3105" width="10.140625" customWidth="1"/>
    <col min="3106" max="3106" width="9" customWidth="1"/>
    <col min="3107" max="3107" width="8.5703125" customWidth="1"/>
    <col min="3108" max="3108" width="8.85546875" customWidth="1"/>
    <col min="3109" max="3109" width="8.28515625" customWidth="1"/>
    <col min="3110" max="3110" width="9.5703125" customWidth="1"/>
    <col min="3111" max="3111" width="32.42578125" customWidth="1"/>
    <col min="3112" max="3112" width="9.28515625" bestFit="1" customWidth="1"/>
    <col min="3346" max="3346" width="20.140625" bestFit="1" customWidth="1"/>
    <col min="3347" max="3347" width="8.5703125" bestFit="1" customWidth="1"/>
    <col min="3348" max="3348" width="14.42578125" bestFit="1" customWidth="1"/>
    <col min="3349" max="3349" width="2.5703125" customWidth="1"/>
    <col min="3350" max="3350" width="10.85546875" customWidth="1"/>
    <col min="3351" max="3351" width="11" customWidth="1"/>
    <col min="3352" max="3355" width="11.5703125" bestFit="1" customWidth="1"/>
    <col min="3356" max="3356" width="7.5703125" bestFit="1" customWidth="1"/>
    <col min="3357" max="3357" width="11.85546875" customWidth="1"/>
    <col min="3359" max="3359" width="10" customWidth="1"/>
    <col min="3360" max="3360" width="9" customWidth="1"/>
    <col min="3361" max="3361" width="10.140625" customWidth="1"/>
    <col min="3362" max="3362" width="9" customWidth="1"/>
    <col min="3363" max="3363" width="8.5703125" customWidth="1"/>
    <col min="3364" max="3364" width="8.85546875" customWidth="1"/>
    <col min="3365" max="3365" width="8.28515625" customWidth="1"/>
    <col min="3366" max="3366" width="9.5703125" customWidth="1"/>
    <col min="3367" max="3367" width="32.42578125" customWidth="1"/>
    <col min="3368" max="3368" width="9.28515625" bestFit="1" customWidth="1"/>
    <col min="3602" max="3602" width="20.140625" bestFit="1" customWidth="1"/>
    <col min="3603" max="3603" width="8.5703125" bestFit="1" customWidth="1"/>
    <col min="3604" max="3604" width="14.42578125" bestFit="1" customWidth="1"/>
    <col min="3605" max="3605" width="2.5703125" customWidth="1"/>
    <col min="3606" max="3606" width="10.85546875" customWidth="1"/>
    <col min="3607" max="3607" width="11" customWidth="1"/>
    <col min="3608" max="3611" width="11.5703125" bestFit="1" customWidth="1"/>
    <col min="3612" max="3612" width="7.5703125" bestFit="1" customWidth="1"/>
    <col min="3613" max="3613" width="11.85546875" customWidth="1"/>
    <col min="3615" max="3615" width="10" customWidth="1"/>
    <col min="3616" max="3616" width="9" customWidth="1"/>
    <col min="3617" max="3617" width="10.140625" customWidth="1"/>
    <col min="3618" max="3618" width="9" customWidth="1"/>
    <col min="3619" max="3619" width="8.5703125" customWidth="1"/>
    <col min="3620" max="3620" width="8.85546875" customWidth="1"/>
    <col min="3621" max="3621" width="8.28515625" customWidth="1"/>
    <col min="3622" max="3622" width="9.5703125" customWidth="1"/>
    <col min="3623" max="3623" width="32.42578125" customWidth="1"/>
    <col min="3624" max="3624" width="9.28515625" bestFit="1" customWidth="1"/>
    <col min="3858" max="3858" width="20.140625" bestFit="1" customWidth="1"/>
    <col min="3859" max="3859" width="8.5703125" bestFit="1" customWidth="1"/>
    <col min="3860" max="3860" width="14.42578125" bestFit="1" customWidth="1"/>
    <col min="3861" max="3861" width="2.5703125" customWidth="1"/>
    <col min="3862" max="3862" width="10.85546875" customWidth="1"/>
    <col min="3863" max="3863" width="11" customWidth="1"/>
    <col min="3864" max="3867" width="11.5703125" bestFit="1" customWidth="1"/>
    <col min="3868" max="3868" width="7.5703125" bestFit="1" customWidth="1"/>
    <col min="3869" max="3869" width="11.85546875" customWidth="1"/>
    <col min="3871" max="3871" width="10" customWidth="1"/>
    <col min="3872" max="3872" width="9" customWidth="1"/>
    <col min="3873" max="3873" width="10.140625" customWidth="1"/>
    <col min="3874" max="3874" width="9" customWidth="1"/>
    <col min="3875" max="3875" width="8.5703125" customWidth="1"/>
    <col min="3876" max="3876" width="8.85546875" customWidth="1"/>
    <col min="3877" max="3877" width="8.28515625" customWidth="1"/>
    <col min="3878" max="3878" width="9.5703125" customWidth="1"/>
    <col min="3879" max="3879" width="32.42578125" customWidth="1"/>
    <col min="3880" max="3880" width="9.28515625" bestFit="1" customWidth="1"/>
    <col min="4114" max="4114" width="20.140625" bestFit="1" customWidth="1"/>
    <col min="4115" max="4115" width="8.5703125" bestFit="1" customWidth="1"/>
    <col min="4116" max="4116" width="14.42578125" bestFit="1" customWidth="1"/>
    <col min="4117" max="4117" width="2.5703125" customWidth="1"/>
    <col min="4118" max="4118" width="10.85546875" customWidth="1"/>
    <col min="4119" max="4119" width="11" customWidth="1"/>
    <col min="4120" max="4123" width="11.5703125" bestFit="1" customWidth="1"/>
    <col min="4124" max="4124" width="7.5703125" bestFit="1" customWidth="1"/>
    <col min="4125" max="4125" width="11.85546875" customWidth="1"/>
    <col min="4127" max="4127" width="10" customWidth="1"/>
    <col min="4128" max="4128" width="9" customWidth="1"/>
    <col min="4129" max="4129" width="10.140625" customWidth="1"/>
    <col min="4130" max="4130" width="9" customWidth="1"/>
    <col min="4131" max="4131" width="8.5703125" customWidth="1"/>
    <col min="4132" max="4132" width="8.85546875" customWidth="1"/>
    <col min="4133" max="4133" width="8.28515625" customWidth="1"/>
    <col min="4134" max="4134" width="9.5703125" customWidth="1"/>
    <col min="4135" max="4135" width="32.42578125" customWidth="1"/>
    <col min="4136" max="4136" width="9.28515625" bestFit="1" customWidth="1"/>
    <col min="4370" max="4370" width="20.140625" bestFit="1" customWidth="1"/>
    <col min="4371" max="4371" width="8.5703125" bestFit="1" customWidth="1"/>
    <col min="4372" max="4372" width="14.42578125" bestFit="1" customWidth="1"/>
    <col min="4373" max="4373" width="2.5703125" customWidth="1"/>
    <col min="4374" max="4374" width="10.85546875" customWidth="1"/>
    <col min="4375" max="4375" width="11" customWidth="1"/>
    <col min="4376" max="4379" width="11.5703125" bestFit="1" customWidth="1"/>
    <col min="4380" max="4380" width="7.5703125" bestFit="1" customWidth="1"/>
    <col min="4381" max="4381" width="11.85546875" customWidth="1"/>
    <col min="4383" max="4383" width="10" customWidth="1"/>
    <col min="4384" max="4384" width="9" customWidth="1"/>
    <col min="4385" max="4385" width="10.140625" customWidth="1"/>
    <col min="4386" max="4386" width="9" customWidth="1"/>
    <col min="4387" max="4387" width="8.5703125" customWidth="1"/>
    <col min="4388" max="4388" width="8.85546875" customWidth="1"/>
    <col min="4389" max="4389" width="8.28515625" customWidth="1"/>
    <col min="4390" max="4390" width="9.5703125" customWidth="1"/>
    <col min="4391" max="4391" width="32.42578125" customWidth="1"/>
    <col min="4392" max="4392" width="9.28515625" bestFit="1" customWidth="1"/>
    <col min="4626" max="4626" width="20.140625" bestFit="1" customWidth="1"/>
    <col min="4627" max="4627" width="8.5703125" bestFit="1" customWidth="1"/>
    <col min="4628" max="4628" width="14.42578125" bestFit="1" customWidth="1"/>
    <col min="4629" max="4629" width="2.5703125" customWidth="1"/>
    <col min="4630" max="4630" width="10.85546875" customWidth="1"/>
    <col min="4631" max="4631" width="11" customWidth="1"/>
    <col min="4632" max="4635" width="11.5703125" bestFit="1" customWidth="1"/>
    <col min="4636" max="4636" width="7.5703125" bestFit="1" customWidth="1"/>
    <col min="4637" max="4637" width="11.85546875" customWidth="1"/>
    <col min="4639" max="4639" width="10" customWidth="1"/>
    <col min="4640" max="4640" width="9" customWidth="1"/>
    <col min="4641" max="4641" width="10.140625" customWidth="1"/>
    <col min="4642" max="4642" width="9" customWidth="1"/>
    <col min="4643" max="4643" width="8.5703125" customWidth="1"/>
    <col min="4644" max="4644" width="8.85546875" customWidth="1"/>
    <col min="4645" max="4645" width="8.28515625" customWidth="1"/>
    <col min="4646" max="4646" width="9.5703125" customWidth="1"/>
    <col min="4647" max="4647" width="32.42578125" customWidth="1"/>
    <col min="4648" max="4648" width="9.28515625" bestFit="1" customWidth="1"/>
    <col min="4882" max="4882" width="20.140625" bestFit="1" customWidth="1"/>
    <col min="4883" max="4883" width="8.5703125" bestFit="1" customWidth="1"/>
    <col min="4884" max="4884" width="14.42578125" bestFit="1" customWidth="1"/>
    <col min="4885" max="4885" width="2.5703125" customWidth="1"/>
    <col min="4886" max="4886" width="10.85546875" customWidth="1"/>
    <col min="4887" max="4887" width="11" customWidth="1"/>
    <col min="4888" max="4891" width="11.5703125" bestFit="1" customWidth="1"/>
    <col min="4892" max="4892" width="7.5703125" bestFit="1" customWidth="1"/>
    <col min="4893" max="4893" width="11.85546875" customWidth="1"/>
    <col min="4895" max="4895" width="10" customWidth="1"/>
    <col min="4896" max="4896" width="9" customWidth="1"/>
    <col min="4897" max="4897" width="10.140625" customWidth="1"/>
    <col min="4898" max="4898" width="9" customWidth="1"/>
    <col min="4899" max="4899" width="8.5703125" customWidth="1"/>
    <col min="4900" max="4900" width="8.85546875" customWidth="1"/>
    <col min="4901" max="4901" width="8.28515625" customWidth="1"/>
    <col min="4902" max="4902" width="9.5703125" customWidth="1"/>
    <col min="4903" max="4903" width="32.42578125" customWidth="1"/>
    <col min="4904" max="4904" width="9.28515625" bestFit="1" customWidth="1"/>
    <col min="5138" max="5138" width="20.140625" bestFit="1" customWidth="1"/>
    <col min="5139" max="5139" width="8.5703125" bestFit="1" customWidth="1"/>
    <col min="5140" max="5140" width="14.42578125" bestFit="1" customWidth="1"/>
    <col min="5141" max="5141" width="2.5703125" customWidth="1"/>
    <col min="5142" max="5142" width="10.85546875" customWidth="1"/>
    <col min="5143" max="5143" width="11" customWidth="1"/>
    <col min="5144" max="5147" width="11.5703125" bestFit="1" customWidth="1"/>
    <col min="5148" max="5148" width="7.5703125" bestFit="1" customWidth="1"/>
    <col min="5149" max="5149" width="11.85546875" customWidth="1"/>
    <col min="5151" max="5151" width="10" customWidth="1"/>
    <col min="5152" max="5152" width="9" customWidth="1"/>
    <col min="5153" max="5153" width="10.140625" customWidth="1"/>
    <col min="5154" max="5154" width="9" customWidth="1"/>
    <col min="5155" max="5155" width="8.5703125" customWidth="1"/>
    <col min="5156" max="5156" width="8.85546875" customWidth="1"/>
    <col min="5157" max="5157" width="8.28515625" customWidth="1"/>
    <col min="5158" max="5158" width="9.5703125" customWidth="1"/>
    <col min="5159" max="5159" width="32.42578125" customWidth="1"/>
    <col min="5160" max="5160" width="9.28515625" bestFit="1" customWidth="1"/>
    <col min="5394" max="5394" width="20.140625" bestFit="1" customWidth="1"/>
    <col min="5395" max="5395" width="8.5703125" bestFit="1" customWidth="1"/>
    <col min="5396" max="5396" width="14.42578125" bestFit="1" customWidth="1"/>
    <col min="5397" max="5397" width="2.5703125" customWidth="1"/>
    <col min="5398" max="5398" width="10.85546875" customWidth="1"/>
    <col min="5399" max="5399" width="11" customWidth="1"/>
    <col min="5400" max="5403" width="11.5703125" bestFit="1" customWidth="1"/>
    <col min="5404" max="5404" width="7.5703125" bestFit="1" customWidth="1"/>
    <col min="5405" max="5405" width="11.85546875" customWidth="1"/>
    <col min="5407" max="5407" width="10" customWidth="1"/>
    <col min="5408" max="5408" width="9" customWidth="1"/>
    <col min="5409" max="5409" width="10.140625" customWidth="1"/>
    <col min="5410" max="5410" width="9" customWidth="1"/>
    <col min="5411" max="5411" width="8.5703125" customWidth="1"/>
    <col min="5412" max="5412" width="8.85546875" customWidth="1"/>
    <col min="5413" max="5413" width="8.28515625" customWidth="1"/>
    <col min="5414" max="5414" width="9.5703125" customWidth="1"/>
    <col min="5415" max="5415" width="32.42578125" customWidth="1"/>
    <col min="5416" max="5416" width="9.28515625" bestFit="1" customWidth="1"/>
    <col min="5650" max="5650" width="20.140625" bestFit="1" customWidth="1"/>
    <col min="5651" max="5651" width="8.5703125" bestFit="1" customWidth="1"/>
    <col min="5652" max="5652" width="14.42578125" bestFit="1" customWidth="1"/>
    <col min="5653" max="5653" width="2.5703125" customWidth="1"/>
    <col min="5654" max="5654" width="10.85546875" customWidth="1"/>
    <col min="5655" max="5655" width="11" customWidth="1"/>
    <col min="5656" max="5659" width="11.5703125" bestFit="1" customWidth="1"/>
    <col min="5660" max="5660" width="7.5703125" bestFit="1" customWidth="1"/>
    <col min="5661" max="5661" width="11.85546875" customWidth="1"/>
    <col min="5663" max="5663" width="10" customWidth="1"/>
    <col min="5664" max="5664" width="9" customWidth="1"/>
    <col min="5665" max="5665" width="10.140625" customWidth="1"/>
    <col min="5666" max="5666" width="9" customWidth="1"/>
    <col min="5667" max="5667" width="8.5703125" customWidth="1"/>
    <col min="5668" max="5668" width="8.85546875" customWidth="1"/>
    <col min="5669" max="5669" width="8.28515625" customWidth="1"/>
    <col min="5670" max="5670" width="9.5703125" customWidth="1"/>
    <col min="5671" max="5671" width="32.42578125" customWidth="1"/>
    <col min="5672" max="5672" width="9.28515625" bestFit="1" customWidth="1"/>
    <col min="5906" max="5906" width="20.140625" bestFit="1" customWidth="1"/>
    <col min="5907" max="5907" width="8.5703125" bestFit="1" customWidth="1"/>
    <col min="5908" max="5908" width="14.42578125" bestFit="1" customWidth="1"/>
    <col min="5909" max="5909" width="2.5703125" customWidth="1"/>
    <col min="5910" max="5910" width="10.85546875" customWidth="1"/>
    <col min="5911" max="5911" width="11" customWidth="1"/>
    <col min="5912" max="5915" width="11.5703125" bestFit="1" customWidth="1"/>
    <col min="5916" max="5916" width="7.5703125" bestFit="1" customWidth="1"/>
    <col min="5917" max="5917" width="11.85546875" customWidth="1"/>
    <col min="5919" max="5919" width="10" customWidth="1"/>
    <col min="5920" max="5920" width="9" customWidth="1"/>
    <col min="5921" max="5921" width="10.140625" customWidth="1"/>
    <col min="5922" max="5922" width="9" customWidth="1"/>
    <col min="5923" max="5923" width="8.5703125" customWidth="1"/>
    <col min="5924" max="5924" width="8.85546875" customWidth="1"/>
    <col min="5925" max="5925" width="8.28515625" customWidth="1"/>
    <col min="5926" max="5926" width="9.5703125" customWidth="1"/>
    <col min="5927" max="5927" width="32.42578125" customWidth="1"/>
    <col min="5928" max="5928" width="9.28515625" bestFit="1" customWidth="1"/>
    <col min="6162" max="6162" width="20.140625" bestFit="1" customWidth="1"/>
    <col min="6163" max="6163" width="8.5703125" bestFit="1" customWidth="1"/>
    <col min="6164" max="6164" width="14.42578125" bestFit="1" customWidth="1"/>
    <col min="6165" max="6165" width="2.5703125" customWidth="1"/>
    <col min="6166" max="6166" width="10.85546875" customWidth="1"/>
    <col min="6167" max="6167" width="11" customWidth="1"/>
    <col min="6168" max="6171" width="11.5703125" bestFit="1" customWidth="1"/>
    <col min="6172" max="6172" width="7.5703125" bestFit="1" customWidth="1"/>
    <col min="6173" max="6173" width="11.85546875" customWidth="1"/>
    <col min="6175" max="6175" width="10" customWidth="1"/>
    <col min="6176" max="6176" width="9" customWidth="1"/>
    <col min="6177" max="6177" width="10.140625" customWidth="1"/>
    <col min="6178" max="6178" width="9" customWidth="1"/>
    <col min="6179" max="6179" width="8.5703125" customWidth="1"/>
    <col min="6180" max="6180" width="8.85546875" customWidth="1"/>
    <col min="6181" max="6181" width="8.28515625" customWidth="1"/>
    <col min="6182" max="6182" width="9.5703125" customWidth="1"/>
    <col min="6183" max="6183" width="32.42578125" customWidth="1"/>
    <col min="6184" max="6184" width="9.28515625" bestFit="1" customWidth="1"/>
    <col min="6418" max="6418" width="20.140625" bestFit="1" customWidth="1"/>
    <col min="6419" max="6419" width="8.5703125" bestFit="1" customWidth="1"/>
    <col min="6420" max="6420" width="14.42578125" bestFit="1" customWidth="1"/>
    <col min="6421" max="6421" width="2.5703125" customWidth="1"/>
    <col min="6422" max="6422" width="10.85546875" customWidth="1"/>
    <col min="6423" max="6423" width="11" customWidth="1"/>
    <col min="6424" max="6427" width="11.5703125" bestFit="1" customWidth="1"/>
    <col min="6428" max="6428" width="7.5703125" bestFit="1" customWidth="1"/>
    <col min="6429" max="6429" width="11.85546875" customWidth="1"/>
    <col min="6431" max="6431" width="10" customWidth="1"/>
    <col min="6432" max="6432" width="9" customWidth="1"/>
    <col min="6433" max="6433" width="10.140625" customWidth="1"/>
    <col min="6434" max="6434" width="9" customWidth="1"/>
    <col min="6435" max="6435" width="8.5703125" customWidth="1"/>
    <col min="6436" max="6436" width="8.85546875" customWidth="1"/>
    <col min="6437" max="6437" width="8.28515625" customWidth="1"/>
    <col min="6438" max="6438" width="9.5703125" customWidth="1"/>
    <col min="6439" max="6439" width="32.42578125" customWidth="1"/>
    <col min="6440" max="6440" width="9.28515625" bestFit="1" customWidth="1"/>
    <col min="6674" max="6674" width="20.140625" bestFit="1" customWidth="1"/>
    <col min="6675" max="6675" width="8.5703125" bestFit="1" customWidth="1"/>
    <col min="6676" max="6676" width="14.42578125" bestFit="1" customWidth="1"/>
    <col min="6677" max="6677" width="2.5703125" customWidth="1"/>
    <col min="6678" max="6678" width="10.85546875" customWidth="1"/>
    <col min="6679" max="6679" width="11" customWidth="1"/>
    <col min="6680" max="6683" width="11.5703125" bestFit="1" customWidth="1"/>
    <col min="6684" max="6684" width="7.5703125" bestFit="1" customWidth="1"/>
    <col min="6685" max="6685" width="11.85546875" customWidth="1"/>
    <col min="6687" max="6687" width="10" customWidth="1"/>
    <col min="6688" max="6688" width="9" customWidth="1"/>
    <col min="6689" max="6689" width="10.140625" customWidth="1"/>
    <col min="6690" max="6690" width="9" customWidth="1"/>
    <col min="6691" max="6691" width="8.5703125" customWidth="1"/>
    <col min="6692" max="6692" width="8.85546875" customWidth="1"/>
    <col min="6693" max="6693" width="8.28515625" customWidth="1"/>
    <col min="6694" max="6694" width="9.5703125" customWidth="1"/>
    <col min="6695" max="6695" width="32.42578125" customWidth="1"/>
    <col min="6696" max="6696" width="9.28515625" bestFit="1" customWidth="1"/>
    <col min="6930" max="6930" width="20.140625" bestFit="1" customWidth="1"/>
    <col min="6931" max="6931" width="8.5703125" bestFit="1" customWidth="1"/>
    <col min="6932" max="6932" width="14.42578125" bestFit="1" customWidth="1"/>
    <col min="6933" max="6933" width="2.5703125" customWidth="1"/>
    <col min="6934" max="6934" width="10.85546875" customWidth="1"/>
    <col min="6935" max="6935" width="11" customWidth="1"/>
    <col min="6936" max="6939" width="11.5703125" bestFit="1" customWidth="1"/>
    <col min="6940" max="6940" width="7.5703125" bestFit="1" customWidth="1"/>
    <col min="6941" max="6941" width="11.85546875" customWidth="1"/>
    <col min="6943" max="6943" width="10" customWidth="1"/>
    <col min="6944" max="6944" width="9" customWidth="1"/>
    <col min="6945" max="6945" width="10.140625" customWidth="1"/>
    <col min="6946" max="6946" width="9" customWidth="1"/>
    <col min="6947" max="6947" width="8.5703125" customWidth="1"/>
    <col min="6948" max="6948" width="8.85546875" customWidth="1"/>
    <col min="6949" max="6949" width="8.28515625" customWidth="1"/>
    <col min="6950" max="6950" width="9.5703125" customWidth="1"/>
    <col min="6951" max="6951" width="32.42578125" customWidth="1"/>
    <col min="6952" max="6952" width="9.28515625" bestFit="1" customWidth="1"/>
    <col min="7186" max="7186" width="20.140625" bestFit="1" customWidth="1"/>
    <col min="7187" max="7187" width="8.5703125" bestFit="1" customWidth="1"/>
    <col min="7188" max="7188" width="14.42578125" bestFit="1" customWidth="1"/>
    <col min="7189" max="7189" width="2.5703125" customWidth="1"/>
    <col min="7190" max="7190" width="10.85546875" customWidth="1"/>
    <col min="7191" max="7191" width="11" customWidth="1"/>
    <col min="7192" max="7195" width="11.5703125" bestFit="1" customWidth="1"/>
    <col min="7196" max="7196" width="7.5703125" bestFit="1" customWidth="1"/>
    <col min="7197" max="7197" width="11.85546875" customWidth="1"/>
    <col min="7199" max="7199" width="10" customWidth="1"/>
    <col min="7200" max="7200" width="9" customWidth="1"/>
    <col min="7201" max="7201" width="10.140625" customWidth="1"/>
    <col min="7202" max="7202" width="9" customWidth="1"/>
    <col min="7203" max="7203" width="8.5703125" customWidth="1"/>
    <col min="7204" max="7204" width="8.85546875" customWidth="1"/>
    <col min="7205" max="7205" width="8.28515625" customWidth="1"/>
    <col min="7206" max="7206" width="9.5703125" customWidth="1"/>
    <col min="7207" max="7207" width="32.42578125" customWidth="1"/>
    <col min="7208" max="7208" width="9.28515625" bestFit="1" customWidth="1"/>
    <col min="7442" max="7442" width="20.140625" bestFit="1" customWidth="1"/>
    <col min="7443" max="7443" width="8.5703125" bestFit="1" customWidth="1"/>
    <col min="7444" max="7444" width="14.42578125" bestFit="1" customWidth="1"/>
    <col min="7445" max="7445" width="2.5703125" customWidth="1"/>
    <col min="7446" max="7446" width="10.85546875" customWidth="1"/>
    <col min="7447" max="7447" width="11" customWidth="1"/>
    <col min="7448" max="7451" width="11.5703125" bestFit="1" customWidth="1"/>
    <col min="7452" max="7452" width="7.5703125" bestFit="1" customWidth="1"/>
    <col min="7453" max="7453" width="11.85546875" customWidth="1"/>
    <col min="7455" max="7455" width="10" customWidth="1"/>
    <col min="7456" max="7456" width="9" customWidth="1"/>
    <col min="7457" max="7457" width="10.140625" customWidth="1"/>
    <col min="7458" max="7458" width="9" customWidth="1"/>
    <col min="7459" max="7459" width="8.5703125" customWidth="1"/>
    <col min="7460" max="7460" width="8.85546875" customWidth="1"/>
    <col min="7461" max="7461" width="8.28515625" customWidth="1"/>
    <col min="7462" max="7462" width="9.5703125" customWidth="1"/>
    <col min="7463" max="7463" width="32.42578125" customWidth="1"/>
    <col min="7464" max="7464" width="9.28515625" bestFit="1" customWidth="1"/>
    <col min="7698" max="7698" width="20.140625" bestFit="1" customWidth="1"/>
    <col min="7699" max="7699" width="8.5703125" bestFit="1" customWidth="1"/>
    <col min="7700" max="7700" width="14.42578125" bestFit="1" customWidth="1"/>
    <col min="7701" max="7701" width="2.5703125" customWidth="1"/>
    <col min="7702" max="7702" width="10.85546875" customWidth="1"/>
    <col min="7703" max="7703" width="11" customWidth="1"/>
    <col min="7704" max="7707" width="11.5703125" bestFit="1" customWidth="1"/>
    <col min="7708" max="7708" width="7.5703125" bestFit="1" customWidth="1"/>
    <col min="7709" max="7709" width="11.85546875" customWidth="1"/>
    <col min="7711" max="7711" width="10" customWidth="1"/>
    <col min="7712" max="7712" width="9" customWidth="1"/>
    <col min="7713" max="7713" width="10.140625" customWidth="1"/>
    <col min="7714" max="7714" width="9" customWidth="1"/>
    <col min="7715" max="7715" width="8.5703125" customWidth="1"/>
    <col min="7716" max="7716" width="8.85546875" customWidth="1"/>
    <col min="7717" max="7717" width="8.28515625" customWidth="1"/>
    <col min="7718" max="7718" width="9.5703125" customWidth="1"/>
    <col min="7719" max="7719" width="32.42578125" customWidth="1"/>
    <col min="7720" max="7720" width="9.28515625" bestFit="1" customWidth="1"/>
    <col min="7954" max="7954" width="20.140625" bestFit="1" customWidth="1"/>
    <col min="7955" max="7955" width="8.5703125" bestFit="1" customWidth="1"/>
    <col min="7956" max="7956" width="14.42578125" bestFit="1" customWidth="1"/>
    <col min="7957" max="7957" width="2.5703125" customWidth="1"/>
    <col min="7958" max="7958" width="10.85546875" customWidth="1"/>
    <col min="7959" max="7959" width="11" customWidth="1"/>
    <col min="7960" max="7963" width="11.5703125" bestFit="1" customWidth="1"/>
    <col min="7964" max="7964" width="7.5703125" bestFit="1" customWidth="1"/>
    <col min="7965" max="7965" width="11.85546875" customWidth="1"/>
    <col min="7967" max="7967" width="10" customWidth="1"/>
    <col min="7968" max="7968" width="9" customWidth="1"/>
    <col min="7969" max="7969" width="10.140625" customWidth="1"/>
    <col min="7970" max="7970" width="9" customWidth="1"/>
    <col min="7971" max="7971" width="8.5703125" customWidth="1"/>
    <col min="7972" max="7972" width="8.85546875" customWidth="1"/>
    <col min="7973" max="7973" width="8.28515625" customWidth="1"/>
    <col min="7974" max="7974" width="9.5703125" customWidth="1"/>
    <col min="7975" max="7975" width="32.42578125" customWidth="1"/>
    <col min="7976" max="7976" width="9.28515625" bestFit="1" customWidth="1"/>
    <col min="8210" max="8210" width="20.140625" bestFit="1" customWidth="1"/>
    <col min="8211" max="8211" width="8.5703125" bestFit="1" customWidth="1"/>
    <col min="8212" max="8212" width="14.42578125" bestFit="1" customWidth="1"/>
    <col min="8213" max="8213" width="2.5703125" customWidth="1"/>
    <col min="8214" max="8214" width="10.85546875" customWidth="1"/>
    <col min="8215" max="8215" width="11" customWidth="1"/>
    <col min="8216" max="8219" width="11.5703125" bestFit="1" customWidth="1"/>
    <col min="8220" max="8220" width="7.5703125" bestFit="1" customWidth="1"/>
    <col min="8221" max="8221" width="11.85546875" customWidth="1"/>
    <col min="8223" max="8223" width="10" customWidth="1"/>
    <col min="8224" max="8224" width="9" customWidth="1"/>
    <col min="8225" max="8225" width="10.140625" customWidth="1"/>
    <col min="8226" max="8226" width="9" customWidth="1"/>
    <col min="8227" max="8227" width="8.5703125" customWidth="1"/>
    <col min="8228" max="8228" width="8.85546875" customWidth="1"/>
    <col min="8229" max="8229" width="8.28515625" customWidth="1"/>
    <col min="8230" max="8230" width="9.5703125" customWidth="1"/>
    <col min="8231" max="8231" width="32.42578125" customWidth="1"/>
    <col min="8232" max="8232" width="9.28515625" bestFit="1" customWidth="1"/>
    <col min="8466" max="8466" width="20.140625" bestFit="1" customWidth="1"/>
    <col min="8467" max="8467" width="8.5703125" bestFit="1" customWidth="1"/>
    <col min="8468" max="8468" width="14.42578125" bestFit="1" customWidth="1"/>
    <col min="8469" max="8469" width="2.5703125" customWidth="1"/>
    <col min="8470" max="8470" width="10.85546875" customWidth="1"/>
    <col min="8471" max="8471" width="11" customWidth="1"/>
    <col min="8472" max="8475" width="11.5703125" bestFit="1" customWidth="1"/>
    <col min="8476" max="8476" width="7.5703125" bestFit="1" customWidth="1"/>
    <col min="8477" max="8477" width="11.85546875" customWidth="1"/>
    <col min="8479" max="8479" width="10" customWidth="1"/>
    <col min="8480" max="8480" width="9" customWidth="1"/>
    <col min="8481" max="8481" width="10.140625" customWidth="1"/>
    <col min="8482" max="8482" width="9" customWidth="1"/>
    <col min="8483" max="8483" width="8.5703125" customWidth="1"/>
    <col min="8484" max="8484" width="8.85546875" customWidth="1"/>
    <col min="8485" max="8485" width="8.28515625" customWidth="1"/>
    <col min="8486" max="8486" width="9.5703125" customWidth="1"/>
    <col min="8487" max="8487" width="32.42578125" customWidth="1"/>
    <col min="8488" max="8488" width="9.28515625" bestFit="1" customWidth="1"/>
    <col min="8722" max="8722" width="20.140625" bestFit="1" customWidth="1"/>
    <col min="8723" max="8723" width="8.5703125" bestFit="1" customWidth="1"/>
    <col min="8724" max="8724" width="14.42578125" bestFit="1" customWidth="1"/>
    <col min="8725" max="8725" width="2.5703125" customWidth="1"/>
    <col min="8726" max="8726" width="10.85546875" customWidth="1"/>
    <col min="8727" max="8727" width="11" customWidth="1"/>
    <col min="8728" max="8731" width="11.5703125" bestFit="1" customWidth="1"/>
    <col min="8732" max="8732" width="7.5703125" bestFit="1" customWidth="1"/>
    <col min="8733" max="8733" width="11.85546875" customWidth="1"/>
    <col min="8735" max="8735" width="10" customWidth="1"/>
    <col min="8736" max="8736" width="9" customWidth="1"/>
    <col min="8737" max="8737" width="10.140625" customWidth="1"/>
    <col min="8738" max="8738" width="9" customWidth="1"/>
    <col min="8739" max="8739" width="8.5703125" customWidth="1"/>
    <col min="8740" max="8740" width="8.85546875" customWidth="1"/>
    <col min="8741" max="8741" width="8.28515625" customWidth="1"/>
    <col min="8742" max="8742" width="9.5703125" customWidth="1"/>
    <col min="8743" max="8743" width="32.42578125" customWidth="1"/>
    <col min="8744" max="8744" width="9.28515625" bestFit="1" customWidth="1"/>
    <col min="8978" max="8978" width="20.140625" bestFit="1" customWidth="1"/>
    <col min="8979" max="8979" width="8.5703125" bestFit="1" customWidth="1"/>
    <col min="8980" max="8980" width="14.42578125" bestFit="1" customWidth="1"/>
    <col min="8981" max="8981" width="2.5703125" customWidth="1"/>
    <col min="8982" max="8982" width="10.85546875" customWidth="1"/>
    <col min="8983" max="8983" width="11" customWidth="1"/>
    <col min="8984" max="8987" width="11.5703125" bestFit="1" customWidth="1"/>
    <col min="8988" max="8988" width="7.5703125" bestFit="1" customWidth="1"/>
    <col min="8989" max="8989" width="11.85546875" customWidth="1"/>
    <col min="8991" max="8991" width="10" customWidth="1"/>
    <col min="8992" max="8992" width="9" customWidth="1"/>
    <col min="8993" max="8993" width="10.140625" customWidth="1"/>
    <col min="8994" max="8994" width="9" customWidth="1"/>
    <col min="8995" max="8995" width="8.5703125" customWidth="1"/>
    <col min="8996" max="8996" width="8.85546875" customWidth="1"/>
    <col min="8997" max="8997" width="8.28515625" customWidth="1"/>
    <col min="8998" max="8998" width="9.5703125" customWidth="1"/>
    <col min="8999" max="8999" width="32.42578125" customWidth="1"/>
    <col min="9000" max="9000" width="9.28515625" bestFit="1" customWidth="1"/>
    <col min="9234" max="9234" width="20.140625" bestFit="1" customWidth="1"/>
    <col min="9235" max="9235" width="8.5703125" bestFit="1" customWidth="1"/>
    <col min="9236" max="9236" width="14.42578125" bestFit="1" customWidth="1"/>
    <col min="9237" max="9237" width="2.5703125" customWidth="1"/>
    <col min="9238" max="9238" width="10.85546875" customWidth="1"/>
    <col min="9239" max="9239" width="11" customWidth="1"/>
    <col min="9240" max="9243" width="11.5703125" bestFit="1" customWidth="1"/>
    <col min="9244" max="9244" width="7.5703125" bestFit="1" customWidth="1"/>
    <col min="9245" max="9245" width="11.85546875" customWidth="1"/>
    <col min="9247" max="9247" width="10" customWidth="1"/>
    <col min="9248" max="9248" width="9" customWidth="1"/>
    <col min="9249" max="9249" width="10.140625" customWidth="1"/>
    <col min="9250" max="9250" width="9" customWidth="1"/>
    <col min="9251" max="9251" width="8.5703125" customWidth="1"/>
    <col min="9252" max="9252" width="8.85546875" customWidth="1"/>
    <col min="9253" max="9253" width="8.28515625" customWidth="1"/>
    <col min="9254" max="9254" width="9.5703125" customWidth="1"/>
    <col min="9255" max="9255" width="32.42578125" customWidth="1"/>
    <col min="9256" max="9256" width="9.28515625" bestFit="1" customWidth="1"/>
    <col min="9490" max="9490" width="20.140625" bestFit="1" customWidth="1"/>
    <col min="9491" max="9491" width="8.5703125" bestFit="1" customWidth="1"/>
    <col min="9492" max="9492" width="14.42578125" bestFit="1" customWidth="1"/>
    <col min="9493" max="9493" width="2.5703125" customWidth="1"/>
    <col min="9494" max="9494" width="10.85546875" customWidth="1"/>
    <col min="9495" max="9495" width="11" customWidth="1"/>
    <col min="9496" max="9499" width="11.5703125" bestFit="1" customWidth="1"/>
    <col min="9500" max="9500" width="7.5703125" bestFit="1" customWidth="1"/>
    <col min="9501" max="9501" width="11.85546875" customWidth="1"/>
    <col min="9503" max="9503" width="10" customWidth="1"/>
    <col min="9504" max="9504" width="9" customWidth="1"/>
    <col min="9505" max="9505" width="10.140625" customWidth="1"/>
    <col min="9506" max="9506" width="9" customWidth="1"/>
    <col min="9507" max="9507" width="8.5703125" customWidth="1"/>
    <col min="9508" max="9508" width="8.85546875" customWidth="1"/>
    <col min="9509" max="9509" width="8.28515625" customWidth="1"/>
    <col min="9510" max="9510" width="9.5703125" customWidth="1"/>
    <col min="9511" max="9511" width="32.42578125" customWidth="1"/>
    <col min="9512" max="9512" width="9.28515625" bestFit="1" customWidth="1"/>
    <col min="9746" max="9746" width="20.140625" bestFit="1" customWidth="1"/>
    <col min="9747" max="9747" width="8.5703125" bestFit="1" customWidth="1"/>
    <col min="9748" max="9748" width="14.42578125" bestFit="1" customWidth="1"/>
    <col min="9749" max="9749" width="2.5703125" customWidth="1"/>
    <col min="9750" max="9750" width="10.85546875" customWidth="1"/>
    <col min="9751" max="9751" width="11" customWidth="1"/>
    <col min="9752" max="9755" width="11.5703125" bestFit="1" customWidth="1"/>
    <col min="9756" max="9756" width="7.5703125" bestFit="1" customWidth="1"/>
    <col min="9757" max="9757" width="11.85546875" customWidth="1"/>
    <col min="9759" max="9759" width="10" customWidth="1"/>
    <col min="9760" max="9760" width="9" customWidth="1"/>
    <col min="9761" max="9761" width="10.140625" customWidth="1"/>
    <col min="9762" max="9762" width="9" customWidth="1"/>
    <col min="9763" max="9763" width="8.5703125" customWidth="1"/>
    <col min="9764" max="9764" width="8.85546875" customWidth="1"/>
    <col min="9765" max="9765" width="8.28515625" customWidth="1"/>
    <col min="9766" max="9766" width="9.5703125" customWidth="1"/>
    <col min="9767" max="9767" width="32.42578125" customWidth="1"/>
    <col min="9768" max="9768" width="9.28515625" bestFit="1" customWidth="1"/>
    <col min="10002" max="10002" width="20.140625" bestFit="1" customWidth="1"/>
    <col min="10003" max="10003" width="8.5703125" bestFit="1" customWidth="1"/>
    <col min="10004" max="10004" width="14.42578125" bestFit="1" customWidth="1"/>
    <col min="10005" max="10005" width="2.5703125" customWidth="1"/>
    <col min="10006" max="10006" width="10.85546875" customWidth="1"/>
    <col min="10007" max="10007" width="11" customWidth="1"/>
    <col min="10008" max="10011" width="11.5703125" bestFit="1" customWidth="1"/>
    <col min="10012" max="10012" width="7.5703125" bestFit="1" customWidth="1"/>
    <col min="10013" max="10013" width="11.85546875" customWidth="1"/>
    <col min="10015" max="10015" width="10" customWidth="1"/>
    <col min="10016" max="10016" width="9" customWidth="1"/>
    <col min="10017" max="10017" width="10.140625" customWidth="1"/>
    <col min="10018" max="10018" width="9" customWidth="1"/>
    <col min="10019" max="10019" width="8.5703125" customWidth="1"/>
    <col min="10020" max="10020" width="8.85546875" customWidth="1"/>
    <col min="10021" max="10021" width="8.28515625" customWidth="1"/>
    <col min="10022" max="10022" width="9.5703125" customWidth="1"/>
    <col min="10023" max="10023" width="32.42578125" customWidth="1"/>
    <col min="10024" max="10024" width="9.28515625" bestFit="1" customWidth="1"/>
    <col min="10258" max="10258" width="20.140625" bestFit="1" customWidth="1"/>
    <col min="10259" max="10259" width="8.5703125" bestFit="1" customWidth="1"/>
    <col min="10260" max="10260" width="14.42578125" bestFit="1" customWidth="1"/>
    <col min="10261" max="10261" width="2.5703125" customWidth="1"/>
    <col min="10262" max="10262" width="10.85546875" customWidth="1"/>
    <col min="10263" max="10263" width="11" customWidth="1"/>
    <col min="10264" max="10267" width="11.5703125" bestFit="1" customWidth="1"/>
    <col min="10268" max="10268" width="7.5703125" bestFit="1" customWidth="1"/>
    <col min="10269" max="10269" width="11.85546875" customWidth="1"/>
    <col min="10271" max="10271" width="10" customWidth="1"/>
    <col min="10272" max="10272" width="9" customWidth="1"/>
    <col min="10273" max="10273" width="10.140625" customWidth="1"/>
    <col min="10274" max="10274" width="9" customWidth="1"/>
    <col min="10275" max="10275" width="8.5703125" customWidth="1"/>
    <col min="10276" max="10276" width="8.85546875" customWidth="1"/>
    <col min="10277" max="10277" width="8.28515625" customWidth="1"/>
    <col min="10278" max="10278" width="9.5703125" customWidth="1"/>
    <col min="10279" max="10279" width="32.42578125" customWidth="1"/>
    <col min="10280" max="10280" width="9.28515625" bestFit="1" customWidth="1"/>
    <col min="10514" max="10514" width="20.140625" bestFit="1" customWidth="1"/>
    <col min="10515" max="10515" width="8.5703125" bestFit="1" customWidth="1"/>
    <col min="10516" max="10516" width="14.42578125" bestFit="1" customWidth="1"/>
    <col min="10517" max="10517" width="2.5703125" customWidth="1"/>
    <col min="10518" max="10518" width="10.85546875" customWidth="1"/>
    <col min="10519" max="10519" width="11" customWidth="1"/>
    <col min="10520" max="10523" width="11.5703125" bestFit="1" customWidth="1"/>
    <col min="10524" max="10524" width="7.5703125" bestFit="1" customWidth="1"/>
    <col min="10525" max="10525" width="11.85546875" customWidth="1"/>
    <col min="10527" max="10527" width="10" customWidth="1"/>
    <col min="10528" max="10528" width="9" customWidth="1"/>
    <col min="10529" max="10529" width="10.140625" customWidth="1"/>
    <col min="10530" max="10530" width="9" customWidth="1"/>
    <col min="10531" max="10531" width="8.5703125" customWidth="1"/>
    <col min="10532" max="10532" width="8.85546875" customWidth="1"/>
    <col min="10533" max="10533" width="8.28515625" customWidth="1"/>
    <col min="10534" max="10534" width="9.5703125" customWidth="1"/>
    <col min="10535" max="10535" width="32.42578125" customWidth="1"/>
    <col min="10536" max="10536" width="9.28515625" bestFit="1" customWidth="1"/>
    <col min="10770" max="10770" width="20.140625" bestFit="1" customWidth="1"/>
    <col min="10771" max="10771" width="8.5703125" bestFit="1" customWidth="1"/>
    <col min="10772" max="10772" width="14.42578125" bestFit="1" customWidth="1"/>
    <col min="10773" max="10773" width="2.5703125" customWidth="1"/>
    <col min="10774" max="10774" width="10.85546875" customWidth="1"/>
    <col min="10775" max="10775" width="11" customWidth="1"/>
    <col min="10776" max="10779" width="11.5703125" bestFit="1" customWidth="1"/>
    <col min="10780" max="10780" width="7.5703125" bestFit="1" customWidth="1"/>
    <col min="10781" max="10781" width="11.85546875" customWidth="1"/>
    <col min="10783" max="10783" width="10" customWidth="1"/>
    <col min="10784" max="10784" width="9" customWidth="1"/>
    <col min="10785" max="10785" width="10.140625" customWidth="1"/>
    <col min="10786" max="10786" width="9" customWidth="1"/>
    <col min="10787" max="10787" width="8.5703125" customWidth="1"/>
    <col min="10788" max="10788" width="8.85546875" customWidth="1"/>
    <col min="10789" max="10789" width="8.28515625" customWidth="1"/>
    <col min="10790" max="10790" width="9.5703125" customWidth="1"/>
    <col min="10791" max="10791" width="32.42578125" customWidth="1"/>
    <col min="10792" max="10792" width="9.28515625" bestFit="1" customWidth="1"/>
    <col min="11026" max="11026" width="20.140625" bestFit="1" customWidth="1"/>
    <col min="11027" max="11027" width="8.5703125" bestFit="1" customWidth="1"/>
    <col min="11028" max="11028" width="14.42578125" bestFit="1" customWidth="1"/>
    <col min="11029" max="11029" width="2.5703125" customWidth="1"/>
    <col min="11030" max="11030" width="10.85546875" customWidth="1"/>
    <col min="11031" max="11031" width="11" customWidth="1"/>
    <col min="11032" max="11035" width="11.5703125" bestFit="1" customWidth="1"/>
    <col min="11036" max="11036" width="7.5703125" bestFit="1" customWidth="1"/>
    <col min="11037" max="11037" width="11.85546875" customWidth="1"/>
    <col min="11039" max="11039" width="10" customWidth="1"/>
    <col min="11040" max="11040" width="9" customWidth="1"/>
    <col min="11041" max="11041" width="10.140625" customWidth="1"/>
    <col min="11042" max="11042" width="9" customWidth="1"/>
    <col min="11043" max="11043" width="8.5703125" customWidth="1"/>
    <col min="11044" max="11044" width="8.85546875" customWidth="1"/>
    <col min="11045" max="11045" width="8.28515625" customWidth="1"/>
    <col min="11046" max="11046" width="9.5703125" customWidth="1"/>
    <col min="11047" max="11047" width="32.42578125" customWidth="1"/>
    <col min="11048" max="11048" width="9.28515625" bestFit="1" customWidth="1"/>
    <col min="11282" max="11282" width="20.140625" bestFit="1" customWidth="1"/>
    <col min="11283" max="11283" width="8.5703125" bestFit="1" customWidth="1"/>
    <col min="11284" max="11284" width="14.42578125" bestFit="1" customWidth="1"/>
    <col min="11285" max="11285" width="2.5703125" customWidth="1"/>
    <col min="11286" max="11286" width="10.85546875" customWidth="1"/>
    <col min="11287" max="11287" width="11" customWidth="1"/>
    <col min="11288" max="11291" width="11.5703125" bestFit="1" customWidth="1"/>
    <col min="11292" max="11292" width="7.5703125" bestFit="1" customWidth="1"/>
    <col min="11293" max="11293" width="11.85546875" customWidth="1"/>
    <col min="11295" max="11295" width="10" customWidth="1"/>
    <col min="11296" max="11296" width="9" customWidth="1"/>
    <col min="11297" max="11297" width="10.140625" customWidth="1"/>
    <col min="11298" max="11298" width="9" customWidth="1"/>
    <col min="11299" max="11299" width="8.5703125" customWidth="1"/>
    <col min="11300" max="11300" width="8.85546875" customWidth="1"/>
    <col min="11301" max="11301" width="8.28515625" customWidth="1"/>
    <col min="11302" max="11302" width="9.5703125" customWidth="1"/>
    <col min="11303" max="11303" width="32.42578125" customWidth="1"/>
    <col min="11304" max="11304" width="9.28515625" bestFit="1" customWidth="1"/>
    <col min="11538" max="11538" width="20.140625" bestFit="1" customWidth="1"/>
    <col min="11539" max="11539" width="8.5703125" bestFit="1" customWidth="1"/>
    <col min="11540" max="11540" width="14.42578125" bestFit="1" customWidth="1"/>
    <col min="11541" max="11541" width="2.5703125" customWidth="1"/>
    <col min="11542" max="11542" width="10.85546875" customWidth="1"/>
    <col min="11543" max="11543" width="11" customWidth="1"/>
    <col min="11544" max="11547" width="11.5703125" bestFit="1" customWidth="1"/>
    <col min="11548" max="11548" width="7.5703125" bestFit="1" customWidth="1"/>
    <col min="11549" max="11549" width="11.85546875" customWidth="1"/>
    <col min="11551" max="11551" width="10" customWidth="1"/>
    <col min="11552" max="11552" width="9" customWidth="1"/>
    <col min="11553" max="11553" width="10.140625" customWidth="1"/>
    <col min="11554" max="11554" width="9" customWidth="1"/>
    <col min="11555" max="11555" width="8.5703125" customWidth="1"/>
    <col min="11556" max="11556" width="8.85546875" customWidth="1"/>
    <col min="11557" max="11557" width="8.28515625" customWidth="1"/>
    <col min="11558" max="11558" width="9.5703125" customWidth="1"/>
    <col min="11559" max="11559" width="32.42578125" customWidth="1"/>
    <col min="11560" max="11560" width="9.28515625" bestFit="1" customWidth="1"/>
    <col min="11794" max="11794" width="20.140625" bestFit="1" customWidth="1"/>
    <col min="11795" max="11795" width="8.5703125" bestFit="1" customWidth="1"/>
    <col min="11796" max="11796" width="14.42578125" bestFit="1" customWidth="1"/>
    <col min="11797" max="11797" width="2.5703125" customWidth="1"/>
    <col min="11798" max="11798" width="10.85546875" customWidth="1"/>
    <col min="11799" max="11799" width="11" customWidth="1"/>
    <col min="11800" max="11803" width="11.5703125" bestFit="1" customWidth="1"/>
    <col min="11804" max="11804" width="7.5703125" bestFit="1" customWidth="1"/>
    <col min="11805" max="11805" width="11.85546875" customWidth="1"/>
    <col min="11807" max="11807" width="10" customWidth="1"/>
    <col min="11808" max="11808" width="9" customWidth="1"/>
    <col min="11809" max="11809" width="10.140625" customWidth="1"/>
    <col min="11810" max="11810" width="9" customWidth="1"/>
    <col min="11811" max="11811" width="8.5703125" customWidth="1"/>
    <col min="11812" max="11812" width="8.85546875" customWidth="1"/>
    <col min="11813" max="11813" width="8.28515625" customWidth="1"/>
    <col min="11814" max="11814" width="9.5703125" customWidth="1"/>
    <col min="11815" max="11815" width="32.42578125" customWidth="1"/>
    <col min="11816" max="11816" width="9.28515625" bestFit="1" customWidth="1"/>
    <col min="12050" max="12050" width="20.140625" bestFit="1" customWidth="1"/>
    <col min="12051" max="12051" width="8.5703125" bestFit="1" customWidth="1"/>
    <col min="12052" max="12052" width="14.42578125" bestFit="1" customWidth="1"/>
    <col min="12053" max="12053" width="2.5703125" customWidth="1"/>
    <col min="12054" max="12054" width="10.85546875" customWidth="1"/>
    <col min="12055" max="12055" width="11" customWidth="1"/>
    <col min="12056" max="12059" width="11.5703125" bestFit="1" customWidth="1"/>
    <col min="12060" max="12060" width="7.5703125" bestFit="1" customWidth="1"/>
    <col min="12061" max="12061" width="11.85546875" customWidth="1"/>
    <col min="12063" max="12063" width="10" customWidth="1"/>
    <col min="12064" max="12064" width="9" customWidth="1"/>
    <col min="12065" max="12065" width="10.140625" customWidth="1"/>
    <col min="12066" max="12066" width="9" customWidth="1"/>
    <col min="12067" max="12067" width="8.5703125" customWidth="1"/>
    <col min="12068" max="12068" width="8.85546875" customWidth="1"/>
    <col min="12069" max="12069" width="8.28515625" customWidth="1"/>
    <col min="12070" max="12070" width="9.5703125" customWidth="1"/>
    <col min="12071" max="12071" width="32.42578125" customWidth="1"/>
    <col min="12072" max="12072" width="9.28515625" bestFit="1" customWidth="1"/>
    <col min="12306" max="12306" width="20.140625" bestFit="1" customWidth="1"/>
    <col min="12307" max="12307" width="8.5703125" bestFit="1" customWidth="1"/>
    <col min="12308" max="12308" width="14.42578125" bestFit="1" customWidth="1"/>
    <col min="12309" max="12309" width="2.5703125" customWidth="1"/>
    <col min="12310" max="12310" width="10.85546875" customWidth="1"/>
    <col min="12311" max="12311" width="11" customWidth="1"/>
    <col min="12312" max="12315" width="11.5703125" bestFit="1" customWidth="1"/>
    <col min="12316" max="12316" width="7.5703125" bestFit="1" customWidth="1"/>
    <col min="12317" max="12317" width="11.85546875" customWidth="1"/>
    <col min="12319" max="12319" width="10" customWidth="1"/>
    <col min="12320" max="12320" width="9" customWidth="1"/>
    <col min="12321" max="12321" width="10.140625" customWidth="1"/>
    <col min="12322" max="12322" width="9" customWidth="1"/>
    <col min="12323" max="12323" width="8.5703125" customWidth="1"/>
    <col min="12324" max="12324" width="8.85546875" customWidth="1"/>
    <col min="12325" max="12325" width="8.28515625" customWidth="1"/>
    <col min="12326" max="12326" width="9.5703125" customWidth="1"/>
    <col min="12327" max="12327" width="32.42578125" customWidth="1"/>
    <col min="12328" max="12328" width="9.28515625" bestFit="1" customWidth="1"/>
    <col min="12562" max="12562" width="20.140625" bestFit="1" customWidth="1"/>
    <col min="12563" max="12563" width="8.5703125" bestFit="1" customWidth="1"/>
    <col min="12564" max="12564" width="14.42578125" bestFit="1" customWidth="1"/>
    <col min="12565" max="12565" width="2.5703125" customWidth="1"/>
    <col min="12566" max="12566" width="10.85546875" customWidth="1"/>
    <col min="12567" max="12567" width="11" customWidth="1"/>
    <col min="12568" max="12571" width="11.5703125" bestFit="1" customWidth="1"/>
    <col min="12572" max="12572" width="7.5703125" bestFit="1" customWidth="1"/>
    <col min="12573" max="12573" width="11.85546875" customWidth="1"/>
    <col min="12575" max="12575" width="10" customWidth="1"/>
    <col min="12576" max="12576" width="9" customWidth="1"/>
    <col min="12577" max="12577" width="10.140625" customWidth="1"/>
    <col min="12578" max="12578" width="9" customWidth="1"/>
    <col min="12579" max="12579" width="8.5703125" customWidth="1"/>
    <col min="12580" max="12580" width="8.85546875" customWidth="1"/>
    <col min="12581" max="12581" width="8.28515625" customWidth="1"/>
    <col min="12582" max="12582" width="9.5703125" customWidth="1"/>
    <col min="12583" max="12583" width="32.42578125" customWidth="1"/>
    <col min="12584" max="12584" width="9.28515625" bestFit="1" customWidth="1"/>
    <col min="12818" max="12818" width="20.140625" bestFit="1" customWidth="1"/>
    <col min="12819" max="12819" width="8.5703125" bestFit="1" customWidth="1"/>
    <col min="12820" max="12820" width="14.42578125" bestFit="1" customWidth="1"/>
    <col min="12821" max="12821" width="2.5703125" customWidth="1"/>
    <col min="12822" max="12822" width="10.85546875" customWidth="1"/>
    <col min="12823" max="12823" width="11" customWidth="1"/>
    <col min="12824" max="12827" width="11.5703125" bestFit="1" customWidth="1"/>
    <col min="12828" max="12828" width="7.5703125" bestFit="1" customWidth="1"/>
    <col min="12829" max="12829" width="11.85546875" customWidth="1"/>
    <col min="12831" max="12831" width="10" customWidth="1"/>
    <col min="12832" max="12832" width="9" customWidth="1"/>
    <col min="12833" max="12833" width="10.140625" customWidth="1"/>
    <col min="12834" max="12834" width="9" customWidth="1"/>
    <col min="12835" max="12835" width="8.5703125" customWidth="1"/>
    <col min="12836" max="12836" width="8.85546875" customWidth="1"/>
    <col min="12837" max="12837" width="8.28515625" customWidth="1"/>
    <col min="12838" max="12838" width="9.5703125" customWidth="1"/>
    <col min="12839" max="12839" width="32.42578125" customWidth="1"/>
    <col min="12840" max="12840" width="9.28515625" bestFit="1" customWidth="1"/>
    <col min="13074" max="13074" width="20.140625" bestFit="1" customWidth="1"/>
    <col min="13075" max="13075" width="8.5703125" bestFit="1" customWidth="1"/>
    <col min="13076" max="13076" width="14.42578125" bestFit="1" customWidth="1"/>
    <col min="13077" max="13077" width="2.5703125" customWidth="1"/>
    <col min="13078" max="13078" width="10.85546875" customWidth="1"/>
    <col min="13079" max="13079" width="11" customWidth="1"/>
    <col min="13080" max="13083" width="11.5703125" bestFit="1" customWidth="1"/>
    <col min="13084" max="13084" width="7.5703125" bestFit="1" customWidth="1"/>
    <col min="13085" max="13085" width="11.85546875" customWidth="1"/>
    <col min="13087" max="13087" width="10" customWidth="1"/>
    <col min="13088" max="13088" width="9" customWidth="1"/>
    <col min="13089" max="13089" width="10.140625" customWidth="1"/>
    <col min="13090" max="13090" width="9" customWidth="1"/>
    <col min="13091" max="13091" width="8.5703125" customWidth="1"/>
    <col min="13092" max="13092" width="8.85546875" customWidth="1"/>
    <col min="13093" max="13093" width="8.28515625" customWidth="1"/>
    <col min="13094" max="13094" width="9.5703125" customWidth="1"/>
    <col min="13095" max="13095" width="32.42578125" customWidth="1"/>
    <col min="13096" max="13096" width="9.28515625" bestFit="1" customWidth="1"/>
    <col min="13330" max="13330" width="20.140625" bestFit="1" customWidth="1"/>
    <col min="13331" max="13331" width="8.5703125" bestFit="1" customWidth="1"/>
    <col min="13332" max="13332" width="14.42578125" bestFit="1" customWidth="1"/>
    <col min="13333" max="13333" width="2.5703125" customWidth="1"/>
    <col min="13334" max="13334" width="10.85546875" customWidth="1"/>
    <col min="13335" max="13335" width="11" customWidth="1"/>
    <col min="13336" max="13339" width="11.5703125" bestFit="1" customWidth="1"/>
    <col min="13340" max="13340" width="7.5703125" bestFit="1" customWidth="1"/>
    <col min="13341" max="13341" width="11.85546875" customWidth="1"/>
    <col min="13343" max="13343" width="10" customWidth="1"/>
    <col min="13344" max="13344" width="9" customWidth="1"/>
    <col min="13345" max="13345" width="10.140625" customWidth="1"/>
    <col min="13346" max="13346" width="9" customWidth="1"/>
    <col min="13347" max="13347" width="8.5703125" customWidth="1"/>
    <col min="13348" max="13348" width="8.85546875" customWidth="1"/>
    <col min="13349" max="13349" width="8.28515625" customWidth="1"/>
    <col min="13350" max="13350" width="9.5703125" customWidth="1"/>
    <col min="13351" max="13351" width="32.42578125" customWidth="1"/>
    <col min="13352" max="13352" width="9.28515625" bestFit="1" customWidth="1"/>
    <col min="13586" max="13586" width="20.140625" bestFit="1" customWidth="1"/>
    <col min="13587" max="13587" width="8.5703125" bestFit="1" customWidth="1"/>
    <col min="13588" max="13588" width="14.42578125" bestFit="1" customWidth="1"/>
    <col min="13589" max="13589" width="2.5703125" customWidth="1"/>
    <col min="13590" max="13590" width="10.85546875" customWidth="1"/>
    <col min="13591" max="13591" width="11" customWidth="1"/>
    <col min="13592" max="13595" width="11.5703125" bestFit="1" customWidth="1"/>
    <col min="13596" max="13596" width="7.5703125" bestFit="1" customWidth="1"/>
    <col min="13597" max="13597" width="11.85546875" customWidth="1"/>
    <col min="13599" max="13599" width="10" customWidth="1"/>
    <col min="13600" max="13600" width="9" customWidth="1"/>
    <col min="13601" max="13601" width="10.140625" customWidth="1"/>
    <col min="13602" max="13602" width="9" customWidth="1"/>
    <col min="13603" max="13603" width="8.5703125" customWidth="1"/>
    <col min="13604" max="13604" width="8.85546875" customWidth="1"/>
    <col min="13605" max="13605" width="8.28515625" customWidth="1"/>
    <col min="13606" max="13606" width="9.5703125" customWidth="1"/>
    <col min="13607" max="13607" width="32.42578125" customWidth="1"/>
    <col min="13608" max="13608" width="9.28515625" bestFit="1" customWidth="1"/>
    <col min="13842" max="13842" width="20.140625" bestFit="1" customWidth="1"/>
    <col min="13843" max="13843" width="8.5703125" bestFit="1" customWidth="1"/>
    <col min="13844" max="13844" width="14.42578125" bestFit="1" customWidth="1"/>
    <col min="13845" max="13845" width="2.5703125" customWidth="1"/>
    <col min="13846" max="13846" width="10.85546875" customWidth="1"/>
    <col min="13847" max="13847" width="11" customWidth="1"/>
    <col min="13848" max="13851" width="11.5703125" bestFit="1" customWidth="1"/>
    <col min="13852" max="13852" width="7.5703125" bestFit="1" customWidth="1"/>
    <col min="13853" max="13853" width="11.85546875" customWidth="1"/>
    <col min="13855" max="13855" width="10" customWidth="1"/>
    <col min="13856" max="13856" width="9" customWidth="1"/>
    <col min="13857" max="13857" width="10.140625" customWidth="1"/>
    <col min="13858" max="13858" width="9" customWidth="1"/>
    <col min="13859" max="13859" width="8.5703125" customWidth="1"/>
    <col min="13860" max="13860" width="8.85546875" customWidth="1"/>
    <col min="13861" max="13861" width="8.28515625" customWidth="1"/>
    <col min="13862" max="13862" width="9.5703125" customWidth="1"/>
    <col min="13863" max="13863" width="32.42578125" customWidth="1"/>
    <col min="13864" max="13864" width="9.28515625" bestFit="1" customWidth="1"/>
    <col min="14098" max="14098" width="20.140625" bestFit="1" customWidth="1"/>
    <col min="14099" max="14099" width="8.5703125" bestFit="1" customWidth="1"/>
    <col min="14100" max="14100" width="14.42578125" bestFit="1" customWidth="1"/>
    <col min="14101" max="14101" width="2.5703125" customWidth="1"/>
    <col min="14102" max="14102" width="10.85546875" customWidth="1"/>
    <col min="14103" max="14103" width="11" customWidth="1"/>
    <col min="14104" max="14107" width="11.5703125" bestFit="1" customWidth="1"/>
    <col min="14108" max="14108" width="7.5703125" bestFit="1" customWidth="1"/>
    <col min="14109" max="14109" width="11.85546875" customWidth="1"/>
    <col min="14111" max="14111" width="10" customWidth="1"/>
    <col min="14112" max="14112" width="9" customWidth="1"/>
    <col min="14113" max="14113" width="10.140625" customWidth="1"/>
    <col min="14114" max="14114" width="9" customWidth="1"/>
    <col min="14115" max="14115" width="8.5703125" customWidth="1"/>
    <col min="14116" max="14116" width="8.85546875" customWidth="1"/>
    <col min="14117" max="14117" width="8.28515625" customWidth="1"/>
    <col min="14118" max="14118" width="9.5703125" customWidth="1"/>
    <col min="14119" max="14119" width="32.42578125" customWidth="1"/>
    <col min="14120" max="14120" width="9.28515625" bestFit="1" customWidth="1"/>
    <col min="14354" max="14354" width="20.140625" bestFit="1" customWidth="1"/>
    <col min="14355" max="14355" width="8.5703125" bestFit="1" customWidth="1"/>
    <col min="14356" max="14356" width="14.42578125" bestFit="1" customWidth="1"/>
    <col min="14357" max="14357" width="2.5703125" customWidth="1"/>
    <col min="14358" max="14358" width="10.85546875" customWidth="1"/>
    <col min="14359" max="14359" width="11" customWidth="1"/>
    <col min="14360" max="14363" width="11.5703125" bestFit="1" customWidth="1"/>
    <col min="14364" max="14364" width="7.5703125" bestFit="1" customWidth="1"/>
    <col min="14365" max="14365" width="11.85546875" customWidth="1"/>
    <col min="14367" max="14367" width="10" customWidth="1"/>
    <col min="14368" max="14368" width="9" customWidth="1"/>
    <col min="14369" max="14369" width="10.140625" customWidth="1"/>
    <col min="14370" max="14370" width="9" customWidth="1"/>
    <col min="14371" max="14371" width="8.5703125" customWidth="1"/>
    <col min="14372" max="14372" width="8.85546875" customWidth="1"/>
    <col min="14373" max="14373" width="8.28515625" customWidth="1"/>
    <col min="14374" max="14374" width="9.5703125" customWidth="1"/>
    <col min="14375" max="14375" width="32.42578125" customWidth="1"/>
    <col min="14376" max="14376" width="9.28515625" bestFit="1" customWidth="1"/>
    <col min="14610" max="14610" width="20.140625" bestFit="1" customWidth="1"/>
    <col min="14611" max="14611" width="8.5703125" bestFit="1" customWidth="1"/>
    <col min="14612" max="14612" width="14.42578125" bestFit="1" customWidth="1"/>
    <col min="14613" max="14613" width="2.5703125" customWidth="1"/>
    <col min="14614" max="14614" width="10.85546875" customWidth="1"/>
    <col min="14615" max="14615" width="11" customWidth="1"/>
    <col min="14616" max="14619" width="11.5703125" bestFit="1" customWidth="1"/>
    <col min="14620" max="14620" width="7.5703125" bestFit="1" customWidth="1"/>
    <col min="14621" max="14621" width="11.85546875" customWidth="1"/>
    <col min="14623" max="14623" width="10" customWidth="1"/>
    <col min="14624" max="14624" width="9" customWidth="1"/>
    <col min="14625" max="14625" width="10.140625" customWidth="1"/>
    <col min="14626" max="14626" width="9" customWidth="1"/>
    <col min="14627" max="14627" width="8.5703125" customWidth="1"/>
    <col min="14628" max="14628" width="8.85546875" customWidth="1"/>
    <col min="14629" max="14629" width="8.28515625" customWidth="1"/>
    <col min="14630" max="14630" width="9.5703125" customWidth="1"/>
    <col min="14631" max="14631" width="32.42578125" customWidth="1"/>
    <col min="14632" max="14632" width="9.28515625" bestFit="1" customWidth="1"/>
    <col min="14866" max="14866" width="20.140625" bestFit="1" customWidth="1"/>
    <col min="14867" max="14867" width="8.5703125" bestFit="1" customWidth="1"/>
    <col min="14868" max="14868" width="14.42578125" bestFit="1" customWidth="1"/>
    <col min="14869" max="14869" width="2.5703125" customWidth="1"/>
    <col min="14870" max="14870" width="10.85546875" customWidth="1"/>
    <col min="14871" max="14871" width="11" customWidth="1"/>
    <col min="14872" max="14875" width="11.5703125" bestFit="1" customWidth="1"/>
    <col min="14876" max="14876" width="7.5703125" bestFit="1" customWidth="1"/>
    <col min="14877" max="14877" width="11.85546875" customWidth="1"/>
    <col min="14879" max="14879" width="10" customWidth="1"/>
    <col min="14880" max="14880" width="9" customWidth="1"/>
    <col min="14881" max="14881" width="10.140625" customWidth="1"/>
    <col min="14882" max="14882" width="9" customWidth="1"/>
    <col min="14883" max="14883" width="8.5703125" customWidth="1"/>
    <col min="14884" max="14884" width="8.85546875" customWidth="1"/>
    <col min="14885" max="14885" width="8.28515625" customWidth="1"/>
    <col min="14886" max="14886" width="9.5703125" customWidth="1"/>
    <col min="14887" max="14887" width="32.42578125" customWidth="1"/>
    <col min="14888" max="14888" width="9.28515625" bestFit="1" customWidth="1"/>
    <col min="15122" max="15122" width="20.140625" bestFit="1" customWidth="1"/>
    <col min="15123" max="15123" width="8.5703125" bestFit="1" customWidth="1"/>
    <col min="15124" max="15124" width="14.42578125" bestFit="1" customWidth="1"/>
    <col min="15125" max="15125" width="2.5703125" customWidth="1"/>
    <col min="15126" max="15126" width="10.85546875" customWidth="1"/>
    <col min="15127" max="15127" width="11" customWidth="1"/>
    <col min="15128" max="15131" width="11.5703125" bestFit="1" customWidth="1"/>
    <col min="15132" max="15132" width="7.5703125" bestFit="1" customWidth="1"/>
    <col min="15133" max="15133" width="11.85546875" customWidth="1"/>
    <col min="15135" max="15135" width="10" customWidth="1"/>
    <col min="15136" max="15136" width="9" customWidth="1"/>
    <col min="15137" max="15137" width="10.140625" customWidth="1"/>
    <col min="15138" max="15138" width="9" customWidth="1"/>
    <col min="15139" max="15139" width="8.5703125" customWidth="1"/>
    <col min="15140" max="15140" width="8.85546875" customWidth="1"/>
    <col min="15141" max="15141" width="8.28515625" customWidth="1"/>
    <col min="15142" max="15142" width="9.5703125" customWidth="1"/>
    <col min="15143" max="15143" width="32.42578125" customWidth="1"/>
    <col min="15144" max="15144" width="9.28515625" bestFit="1" customWidth="1"/>
    <col min="15378" max="15378" width="20.140625" bestFit="1" customWidth="1"/>
    <col min="15379" max="15379" width="8.5703125" bestFit="1" customWidth="1"/>
    <col min="15380" max="15380" width="14.42578125" bestFit="1" customWidth="1"/>
    <col min="15381" max="15381" width="2.5703125" customWidth="1"/>
    <col min="15382" max="15382" width="10.85546875" customWidth="1"/>
    <col min="15383" max="15383" width="11" customWidth="1"/>
    <col min="15384" max="15387" width="11.5703125" bestFit="1" customWidth="1"/>
    <col min="15388" max="15388" width="7.5703125" bestFit="1" customWidth="1"/>
    <col min="15389" max="15389" width="11.85546875" customWidth="1"/>
    <col min="15391" max="15391" width="10" customWidth="1"/>
    <col min="15392" max="15392" width="9" customWidth="1"/>
    <col min="15393" max="15393" width="10.140625" customWidth="1"/>
    <col min="15394" max="15394" width="9" customWidth="1"/>
    <col min="15395" max="15395" width="8.5703125" customWidth="1"/>
    <col min="15396" max="15396" width="8.85546875" customWidth="1"/>
    <col min="15397" max="15397" width="8.28515625" customWidth="1"/>
    <col min="15398" max="15398" width="9.5703125" customWidth="1"/>
    <col min="15399" max="15399" width="32.42578125" customWidth="1"/>
    <col min="15400" max="15400" width="9.28515625" bestFit="1" customWidth="1"/>
    <col min="15634" max="15634" width="20.140625" bestFit="1" customWidth="1"/>
    <col min="15635" max="15635" width="8.5703125" bestFit="1" customWidth="1"/>
    <col min="15636" max="15636" width="14.42578125" bestFit="1" customWidth="1"/>
    <col min="15637" max="15637" width="2.5703125" customWidth="1"/>
    <col min="15638" max="15638" width="10.85546875" customWidth="1"/>
    <col min="15639" max="15639" width="11" customWidth="1"/>
    <col min="15640" max="15643" width="11.5703125" bestFit="1" customWidth="1"/>
    <col min="15644" max="15644" width="7.5703125" bestFit="1" customWidth="1"/>
    <col min="15645" max="15645" width="11.85546875" customWidth="1"/>
    <col min="15647" max="15647" width="10" customWidth="1"/>
    <col min="15648" max="15648" width="9" customWidth="1"/>
    <col min="15649" max="15649" width="10.140625" customWidth="1"/>
    <col min="15650" max="15650" width="9" customWidth="1"/>
    <col min="15651" max="15651" width="8.5703125" customWidth="1"/>
    <col min="15652" max="15652" width="8.85546875" customWidth="1"/>
    <col min="15653" max="15653" width="8.28515625" customWidth="1"/>
    <col min="15654" max="15654" width="9.5703125" customWidth="1"/>
    <col min="15655" max="15655" width="32.42578125" customWidth="1"/>
    <col min="15656" max="15656" width="9.28515625" bestFit="1" customWidth="1"/>
    <col min="15890" max="15890" width="20.140625" bestFit="1" customWidth="1"/>
    <col min="15891" max="15891" width="8.5703125" bestFit="1" customWidth="1"/>
    <col min="15892" max="15892" width="14.42578125" bestFit="1" customWidth="1"/>
    <col min="15893" max="15893" width="2.5703125" customWidth="1"/>
    <col min="15894" max="15894" width="10.85546875" customWidth="1"/>
    <col min="15895" max="15895" width="11" customWidth="1"/>
    <col min="15896" max="15899" width="11.5703125" bestFit="1" customWidth="1"/>
    <col min="15900" max="15900" width="7.5703125" bestFit="1" customWidth="1"/>
    <col min="15901" max="15901" width="11.85546875" customWidth="1"/>
    <col min="15903" max="15903" width="10" customWidth="1"/>
    <col min="15904" max="15904" width="9" customWidth="1"/>
    <col min="15905" max="15905" width="10.140625" customWidth="1"/>
    <col min="15906" max="15906" width="9" customWidth="1"/>
    <col min="15907" max="15907" width="8.5703125" customWidth="1"/>
    <col min="15908" max="15908" width="8.85546875" customWidth="1"/>
    <col min="15909" max="15909" width="8.28515625" customWidth="1"/>
    <col min="15910" max="15910" width="9.5703125" customWidth="1"/>
    <col min="15911" max="15911" width="32.42578125" customWidth="1"/>
    <col min="15912" max="15912" width="9.28515625" bestFit="1" customWidth="1"/>
    <col min="16146" max="16146" width="20.140625" bestFit="1" customWidth="1"/>
    <col min="16147" max="16147" width="8.5703125" bestFit="1" customWidth="1"/>
    <col min="16148" max="16148" width="14.42578125" bestFit="1" customWidth="1"/>
    <col min="16149" max="16149" width="2.5703125" customWidth="1"/>
    <col min="16150" max="16150" width="10.85546875" customWidth="1"/>
    <col min="16151" max="16151" width="11" customWidth="1"/>
    <col min="16152" max="16155" width="11.5703125" bestFit="1" customWidth="1"/>
    <col min="16156" max="16156" width="7.5703125" bestFit="1" customWidth="1"/>
    <col min="16157" max="16157" width="11.85546875" customWidth="1"/>
    <col min="16159" max="16159" width="10" customWidth="1"/>
    <col min="16160" max="16160" width="9" customWidth="1"/>
    <col min="16161" max="16161" width="10.140625" customWidth="1"/>
    <col min="16162" max="16162" width="9" customWidth="1"/>
    <col min="16163" max="16163" width="8.5703125" customWidth="1"/>
    <col min="16164" max="16164" width="8.85546875" customWidth="1"/>
    <col min="16165" max="16165" width="8.28515625" customWidth="1"/>
    <col min="16166" max="16166" width="9.5703125" customWidth="1"/>
    <col min="16167" max="16167" width="32.42578125" customWidth="1"/>
    <col min="16168" max="16168" width="9.28515625" bestFit="1" customWidth="1"/>
  </cols>
  <sheetData>
    <row r="1" spans="1:54" ht="15.75" x14ac:dyDescent="0.25">
      <c r="A1" s="120" t="s">
        <v>90</v>
      </c>
      <c r="B1" s="120"/>
      <c r="C1" s="121"/>
      <c r="D1" s="121"/>
      <c r="E1" s="121"/>
      <c r="F1" s="121"/>
      <c r="G1" s="121"/>
      <c r="H1" s="121"/>
      <c r="I1" s="121"/>
      <c r="J1" s="78"/>
      <c r="K1" s="78"/>
      <c r="L1" s="78"/>
      <c r="AM1" s="37"/>
      <c r="AO1" s="41"/>
    </row>
    <row r="2" spans="1:54" ht="15.75" x14ac:dyDescent="0.25">
      <c r="A2" s="77"/>
      <c r="B2" s="77"/>
      <c r="C2" s="78"/>
      <c r="D2" s="78"/>
      <c r="E2" s="78"/>
      <c r="F2" s="78"/>
      <c r="H2" s="78"/>
      <c r="I2" s="78"/>
      <c r="J2" s="78"/>
      <c r="K2" s="78"/>
      <c r="L2" s="78"/>
      <c r="M2" s="43"/>
      <c r="N2" s="43"/>
      <c r="O2" s="43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M2" s="37"/>
      <c r="AN2" s="46"/>
      <c r="AO2" s="45"/>
      <c r="AP2" s="46"/>
    </row>
    <row r="3" spans="1:54" ht="15.75" x14ac:dyDescent="0.25">
      <c r="A3" s="47" t="s">
        <v>171</v>
      </c>
      <c r="B3" s="48"/>
      <c r="C3" s="48"/>
      <c r="D3" s="48"/>
      <c r="E3" s="48"/>
      <c r="F3" s="48"/>
      <c r="G3" s="81"/>
      <c r="H3" s="48"/>
      <c r="I3" s="48"/>
      <c r="J3" s="48"/>
      <c r="K3" s="48"/>
      <c r="L3" s="48"/>
      <c r="M3" s="43"/>
      <c r="N3" s="43"/>
      <c r="O3" s="43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M3" s="37"/>
      <c r="AN3" s="46"/>
      <c r="AO3" s="45"/>
      <c r="AP3" s="46"/>
    </row>
    <row r="4" spans="1:54" ht="15.75" x14ac:dyDescent="0.25">
      <c r="A4" s="48" t="s">
        <v>172</v>
      </c>
      <c r="B4" s="48"/>
      <c r="C4" s="48"/>
      <c r="D4" s="48"/>
      <c r="E4" s="48"/>
      <c r="F4" s="48"/>
      <c r="G4" s="81"/>
      <c r="H4" s="48"/>
      <c r="I4" s="48"/>
      <c r="J4" s="48"/>
      <c r="K4" s="48"/>
      <c r="L4" s="48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54" ht="16.5" thickBot="1" x14ac:dyDescent="0.3">
      <c r="A5" s="48"/>
      <c r="B5" s="48"/>
      <c r="C5" s="48"/>
      <c r="D5" s="48"/>
      <c r="E5" s="48"/>
      <c r="F5" s="48"/>
      <c r="G5" s="81"/>
      <c r="H5" s="48"/>
      <c r="I5" s="48"/>
      <c r="J5" s="48"/>
      <c r="K5" s="48"/>
      <c r="L5" s="48"/>
    </row>
    <row r="6" spans="1:54" ht="36.75" customHeight="1" thickBot="1" x14ac:dyDescent="0.3">
      <c r="A6" s="49"/>
      <c r="B6" s="49"/>
      <c r="C6" s="49"/>
      <c r="D6" s="49"/>
      <c r="E6" s="50"/>
      <c r="F6" s="73"/>
      <c r="G6" s="82"/>
      <c r="H6" s="122" t="s">
        <v>140</v>
      </c>
      <c r="I6" s="123"/>
      <c r="J6" s="123"/>
      <c r="K6" s="123"/>
      <c r="L6" s="124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125" t="s">
        <v>91</v>
      </c>
      <c r="AI6" s="84"/>
      <c r="AJ6" s="84"/>
      <c r="AK6" s="52"/>
      <c r="AL6" s="127" t="s">
        <v>93</v>
      </c>
    </row>
    <row r="7" spans="1:54" ht="42" customHeight="1" thickBot="1" x14ac:dyDescent="0.3">
      <c r="A7" s="53" t="s">
        <v>85</v>
      </c>
      <c r="B7" s="54" t="s">
        <v>157</v>
      </c>
      <c r="C7" s="55" t="s">
        <v>158</v>
      </c>
      <c r="D7" s="56"/>
      <c r="E7" s="57" t="s">
        <v>92</v>
      </c>
      <c r="F7" s="74" t="s">
        <v>100</v>
      </c>
      <c r="G7" s="74" t="s">
        <v>101</v>
      </c>
      <c r="H7" s="79" t="s">
        <v>141</v>
      </c>
      <c r="I7" s="79" t="s">
        <v>142</v>
      </c>
      <c r="J7" s="79" t="s">
        <v>105</v>
      </c>
      <c r="K7" s="79" t="s">
        <v>108</v>
      </c>
      <c r="L7" s="79" t="s">
        <v>109</v>
      </c>
      <c r="M7" s="59" t="s">
        <v>144</v>
      </c>
      <c r="N7" s="59" t="s">
        <v>145</v>
      </c>
      <c r="O7" s="86" t="s">
        <v>103</v>
      </c>
      <c r="P7" s="59" t="s">
        <v>127</v>
      </c>
      <c r="Q7" s="86" t="s">
        <v>104</v>
      </c>
      <c r="R7" s="59" t="s">
        <v>135</v>
      </c>
      <c r="S7" s="86" t="s">
        <v>106</v>
      </c>
      <c r="T7" s="59" t="s">
        <v>136</v>
      </c>
      <c r="U7" s="86" t="s">
        <v>107</v>
      </c>
      <c r="V7" s="59" t="s">
        <v>134</v>
      </c>
      <c r="W7" s="86" t="s">
        <v>129</v>
      </c>
      <c r="X7" s="86" t="s">
        <v>130</v>
      </c>
      <c r="Y7" s="86" t="s">
        <v>128</v>
      </c>
      <c r="Z7" s="86" t="s">
        <v>131</v>
      </c>
      <c r="AA7" s="86" t="s">
        <v>132</v>
      </c>
      <c r="AB7" s="86" t="s">
        <v>110</v>
      </c>
      <c r="AC7" s="59" t="s">
        <v>133</v>
      </c>
      <c r="AD7" s="86" t="s">
        <v>111</v>
      </c>
      <c r="AE7" s="59" t="s">
        <v>137</v>
      </c>
      <c r="AF7" s="86" t="s">
        <v>112</v>
      </c>
      <c r="AG7" s="59" t="s">
        <v>138</v>
      </c>
      <c r="AH7" s="126"/>
      <c r="AI7" s="87" t="s">
        <v>102</v>
      </c>
      <c r="AJ7" s="85" t="s">
        <v>143</v>
      </c>
      <c r="AK7" s="93" t="s">
        <v>139</v>
      </c>
      <c r="AL7" s="127"/>
    </row>
    <row r="8" spans="1:54" x14ac:dyDescent="0.25">
      <c r="A8" s="91" t="s">
        <v>115</v>
      </c>
      <c r="B8" s="91"/>
      <c r="C8" s="91" t="s">
        <v>114</v>
      </c>
      <c r="D8" s="60"/>
      <c r="E8" s="61">
        <v>0.1</v>
      </c>
      <c r="F8" s="61" t="str">
        <f>COMPLEX(0,2*PI()*E8*1000)</f>
        <v>628.318530717959i</v>
      </c>
      <c r="G8" s="83" t="str">
        <f t="shared" ref="G8:G39" si="0">IMDIV(IMDIV(IMPRODUCT(1/$C$24,IMDIV(1,F8),IMSUM(IMDIV(F8,$C$21),1)),(IMSUM(IMDIV(F8,$C$22),1))),IMSUM(IMDIV(F8,$C$23),1))</f>
        <v>663.68250089817-464273.333387535i</v>
      </c>
      <c r="H8" s="62" t="str">
        <f t="shared" ref="H8:H39" si="1">IMDIV(IMDIV(IMPRODUCT($C$19,$C$14,G8),F8),$C$20)</f>
        <v>-862066.286134405-1232.33075771791i</v>
      </c>
      <c r="I8" s="62" t="str">
        <f t="shared" ref="I8:I39" si="2">IMDIV(IMDIV(IMPRODUCT($C$19,$C$14,G8),F8),IMSUM(1,H8))</f>
        <v>60.0000696001548-9.94941021699863E-08i</v>
      </c>
      <c r="J8" s="89" t="str">
        <f t="shared" ref="J8:J39" si="3">IMDIV(IMDIV(IMPRODUCT(($C$14*2*PI()),G8),F8),IMSUM(1,H8))</f>
        <v>150796.622296579-0.000250055953677557i</v>
      </c>
      <c r="K8" s="89" t="str">
        <f t="shared" ref="K8:K39" si="4">IMDIV(IMDIV(($C$14*2*PI()),F8),IMSUM(1,H8))</f>
        <v>0.000464305809507888+0.324800722549934i</v>
      </c>
      <c r="L8" s="89" t="str">
        <f t="shared" ref="L8:L39" si="5">IMDIV(1,IMSUM(1,H8))</f>
        <v>-1.16000258053548E-06+1.65823503395674E-09i</v>
      </c>
      <c r="M8" s="63">
        <f>$C$26+20*LOG($C$11*1000000)-10*LOG(E8*1000)-20*LOG($C$11*1000000/$C$13)</f>
        <v>-129.02059991327963</v>
      </c>
      <c r="N8" s="63">
        <f t="shared" ref="N8:N39" si="6">$C$25+(10*LOG10($C$13))</f>
        <v>-149.51029995663981</v>
      </c>
      <c r="O8" s="63" t="str">
        <f t="shared" ref="O8:O39" si="7">IMPRODUCT((POWER(10,M8/10)+POWER(10,N8/10)),I8,(IMCONJUGATE(I8)))</f>
        <v>4.55099264144771E-10+9.62964972193618E-35i</v>
      </c>
      <c r="P8" s="63">
        <f>10*LOG(IMABS(O8))</f>
        <v>-93.418938667087758</v>
      </c>
      <c r="Q8" s="63" t="str">
        <f t="shared" ref="Q8:Q39" si="8">IMPRODUCT(POWER(SQRT($C$32/$C$37),2),J8,(IMCONJUGATE(J8)),0.5)</f>
        <v>2.51651809009699E-14</v>
      </c>
      <c r="R8" s="63">
        <f>10*LOG(IMABS(Q8))</f>
        <v>-135.99199943311322</v>
      </c>
      <c r="S8" s="63" t="str">
        <f t="shared" ref="S8:S39" si="9">IMPRODUCT(POWER(SQRT($C$28*$C$13)*SQRT($C$32/$C$34),2)+POWER(SQRT($C$29+$C$28*$C$13)*SQRT($C$32/$C$34),2),J8,(IMCONJUGATE(J8)),0.5)</f>
        <v>7.16508622874837E-14</v>
      </c>
      <c r="T8" s="63">
        <f>10*LOG(IMABS(S8))</f>
        <v>-131.44778578686837</v>
      </c>
      <c r="U8" s="63" t="str">
        <f t="shared" ref="U8:U39" si="10">IMPRODUCT(IMPRODUCT(SQRT($C$32*$C$38),IMDIV($C$39/($C$39+$C$40),IMSUM(IMPRODUCT(F8,$C$38,($C$39*$C$40)/($C$39+$C$40)),1))),IMCONJUGATE(IMPRODUCT(SQRT($C$32*$C$38),IMDIV($C$39/($C$39+$C$40),IMSUM(IMPRODUCT(F8,$C$38,($C$39*$C$40)/($C$39+$C$40)),1)))),K8,(IMCONJUGATE(K8)),0.5)</f>
        <v>6.31058111625628E-19</v>
      </c>
      <c r="V8" s="63">
        <f>10*LOG(IMABS(U8))</f>
        <v>-181.99930646466967</v>
      </c>
      <c r="W8" s="63">
        <f t="shared" ref="W8:W39" si="11">$C$37*($C$34*($C$29+$C$28*$C$13)+$C$34*$C$28*$C$13)/($C$37+($C$34*($C$29+$C$28*$C$13)+$C$34*$C$28*$C$13))</f>
        <v>109.08983404943042</v>
      </c>
      <c r="X8" s="63" t="str">
        <f t="shared" ref="X8:X39" si="12">IMDIV(IMPRODUCT(IMDIV(1/($C$39+$C$40),F8),IMSUM(1,IMPRODUCT(F8,$C$38,$C$39))),IMSUM(IMPRODUCT(F8,$C$38,($C$39*$C$40)/($C$39+$C$40)),1))</f>
        <v>720.703116861737-452144.801277948i</v>
      </c>
      <c r="Y8" s="90" t="str">
        <f t="shared" ref="Y8:Y39" si="13">IMPRODUCT($C$30,IMSUM(1,IMDIV(X8,W8)))</f>
        <v>7.60651034206519E-10-4.14470152253668E-07i</v>
      </c>
      <c r="Z8" s="90" t="str">
        <f t="shared" ref="Z8:Z39" si="14">IMPRODUCT($C$31,X8)</f>
        <v>7.20703116861737E-11-4.52144801277948E-08i</v>
      </c>
      <c r="AA8" s="90" t="str">
        <f t="shared" ref="AA8:AA39" si="15">IMPRODUCT($C$31,$C$33,IMSUM(1,IMDIV(X8,W8)))</f>
        <v>3.80325517103259E-10-2.07235076126834E-07i</v>
      </c>
      <c r="AB8" s="90" t="str">
        <f>IMPRODUCT(IMSUM(IMPRODUCT(Y8,IMCONJUGATE(Y8)),IMPRODUCT(Z8,IMCONJUGATE(Z8)),IMPRODUCT(AA8,IMCONJUGATE(AA8))),K8,IMCONJUGATE(K8),0.5)</f>
        <v>1.14345213544774E-14</v>
      </c>
      <c r="AC8" s="90">
        <f>10*LOG(IMABS(AB8))</f>
        <v>-139.41782010109262</v>
      </c>
      <c r="AD8" s="90" t="str">
        <f t="shared" ref="AD8:AD39" si="16">(IMPRODUCT(POWER(10,($C$17-20*LOG(E8*1000/$C$18))/10),L8,(IMCONJUGATE(L8))))</f>
        <v>1.3456087365924E-19-2.35098870164458E-38i</v>
      </c>
      <c r="AE8" s="63">
        <f>10*LOG(IMABS(AD8))</f>
        <v>-188.71081201806604</v>
      </c>
      <c r="AF8" s="63" t="str">
        <f>IF($C$27="0",1E-30,IMSUM(IMPRODUCT(POWER(2*PI(),2)/(12*$C$13*POWER($C$20,2))*POWER((2*SIN(PI()*(E8*1000)/$C$13)),(2*($C$27-1))),I8,(IMCONJUGATE(I8))),1E-30))</f>
        <v>1.64177469692448E-27</v>
      </c>
      <c r="AG8" s="63">
        <f>10*LOG(IMABS(AF8))</f>
        <v>-267.84686441976658</v>
      </c>
      <c r="AH8" s="116">
        <v>-136</v>
      </c>
      <c r="AI8" s="63" t="str">
        <f t="shared" ref="AI8:AI39" si="17">IMPRODUCT(POWER(10,AH8/10),I8,(IMCONJUGATE(I8)))</f>
        <v>9.04281213276878E-11+2.40741243048404E-35i</v>
      </c>
      <c r="AJ8" s="63">
        <f>10*LOG(IMABS(AI8))</f>
        <v>-100.43696491667859</v>
      </c>
      <c r="AK8" s="63">
        <f>10*LOG(IMABS(IMSUM(O8,Q8,S8,U8,AB8,AD8,AF8,AI8)))</f>
        <v>-92.630972725867252</v>
      </c>
      <c r="AL8" s="49">
        <f t="shared" ref="AL8:AL39" si="18">10^((AK8+(10*LOG((E9-E8)*1000)))/10)</f>
        <v>6.6577617014724436E-9</v>
      </c>
      <c r="BB8" s="6"/>
    </row>
    <row r="9" spans="1:54" x14ac:dyDescent="0.25">
      <c r="A9" s="91" t="s">
        <v>116</v>
      </c>
      <c r="B9" s="92"/>
      <c r="C9" s="91" t="str">
        <f>'4thOrderLoop'!C61</f>
        <v>CRO3035A-LF</v>
      </c>
      <c r="D9" s="60"/>
      <c r="E9" s="64">
        <v>0.1122018454301966</v>
      </c>
      <c r="F9" s="61" t="str">
        <f t="shared" ref="F9:F72" si="19">COMPLEX(0,2*PI()*E9*1000)</f>
        <v>704.984986645446i</v>
      </c>
      <c r="G9" s="83" t="str">
        <f t="shared" si="0"/>
        <v>663.682493248403-413784.081760854i</v>
      </c>
      <c r="H9" s="62" t="str">
        <f t="shared" si="1"/>
        <v>-684763.653882532-1098.3159312477i</v>
      </c>
      <c r="I9" s="62" t="str">
        <f t="shared" si="2"/>
        <v>60.0000876213755-1.40539137736167E-07i</v>
      </c>
      <c r="J9" s="89" t="str">
        <f t="shared" si="3"/>
        <v>150796.667588846-0.000353213377883611i</v>
      </c>
      <c r="K9" s="89" t="str">
        <f t="shared" si="4"/>
        <v>0.000584526310668982+0.364432287987624i</v>
      </c>
      <c r="L9" s="89" t="str">
        <f t="shared" si="5"/>
        <v>-1.46035625880573E-06+2.34231895569872E-09i</v>
      </c>
      <c r="M9" s="63">
        <f t="shared" ref="M9:M72" si="20">$C$26+20*LOG($C$11*1000000)-10*LOG(E9*1000)-20*LOG($C$11*1000000/$C$13)</f>
        <v>-129.52059991327963</v>
      </c>
      <c r="N9" s="63">
        <f t="shared" si="6"/>
        <v>-149.51029995663981</v>
      </c>
      <c r="O9" s="63" t="str">
        <f t="shared" si="7"/>
        <v>4.06046116926667E-10-1.92592994438724E-34i</v>
      </c>
      <c r="P9" s="63">
        <f t="shared" ref="P9:P72" si="21">10*LOG(IMABS(O9))</f>
        <v>-93.914246383701808</v>
      </c>
      <c r="Q9" s="63" t="str">
        <f t="shared" si="8"/>
        <v>2.51651960178637E-14</v>
      </c>
      <c r="R9" s="63">
        <f t="shared" ref="R9:R72" si="22">10*LOG(IMABS(Q9))</f>
        <v>-135.99199682427778</v>
      </c>
      <c r="S9" s="63" t="str">
        <f t="shared" si="9"/>
        <v>7.16509053286397E-14</v>
      </c>
      <c r="T9" s="63">
        <f t="shared" ref="T9:T72" si="23">10*LOG(IMABS(S9))</f>
        <v>-131.44778317803292</v>
      </c>
      <c r="U9" s="63" t="str">
        <f t="shared" si="10"/>
        <v>7.94455002340805E-19-1.88079096131566E-37i</v>
      </c>
      <c r="V9" s="63">
        <f t="shared" ref="V9:V72" si="24">10*LOG(IMABS(U9))</f>
        <v>-180.999306960507</v>
      </c>
      <c r="W9" s="63">
        <f t="shared" si="11"/>
        <v>109.08983404943042</v>
      </c>
      <c r="X9" s="63" t="str">
        <f t="shared" si="12"/>
        <v>720.703114754535-402974.495984612i</v>
      </c>
      <c r="Y9" s="90" t="str">
        <f t="shared" si="13"/>
        <v>7.60651032274898E-10-3.69396928225244E-07i</v>
      </c>
      <c r="Z9" s="90" t="str">
        <f t="shared" si="14"/>
        <v>7.20703114754535E-11-4.02974495984612E-08i</v>
      </c>
      <c r="AA9" s="90" t="str">
        <f t="shared" si="15"/>
        <v>3.80325516137449E-10-1.84698464112622E-07i</v>
      </c>
      <c r="AB9" s="90" t="str">
        <f t="shared" ref="AB9:AB72" si="25">IMPRODUCT(IMSUM(IMPRODUCT(Y9,IMCONJUGATE(Y9)),IMPRODUCT(Z9,IMCONJUGATE(Z9)),IMPRODUCT(AA9,IMCONJUGATE(AA9))),K9,IMCONJUGATE(K9),0.5)</f>
        <v>1.14345310341357E-14</v>
      </c>
      <c r="AC9" s="90">
        <f t="shared" ref="AC9:AC72" si="26">10*LOG(IMABS(AB9))</f>
        <v>-139.41781642466378</v>
      </c>
      <c r="AD9" s="90" t="str">
        <f t="shared" si="16"/>
        <v>1.69402084437376E-19</v>
      </c>
      <c r="AE9" s="63">
        <f t="shared" ref="AE9:AE72" si="27">10*LOG(IMABS(AD9))</f>
        <v>-187.7108125012054</v>
      </c>
      <c r="AF9" s="63" t="str">
        <f t="shared" ref="AF9:AF72" si="28">IF($C$27="0",1E-30,IMSUM(IMPRODUCT(POWER(2*PI(),2)/(12*$C$13*POWER($C$20,2))*POWER((2*SIN(PI()*(E9*1000)/$C$13)),(2*($C$27-1))),I9,(IMCONJUGATE(I9))),1E-30))</f>
        <v>2.60145420960981E-27</v>
      </c>
      <c r="AG9" s="63">
        <f t="shared" ref="AG9:AG72" si="29">10*LOG(IMABS(AF9))</f>
        <v>-265.84783814084227</v>
      </c>
      <c r="AH9" s="116">
        <f t="shared" ref="AH9:AH27" si="30">AH8-(($AH$8-$AH$28)/20)</f>
        <v>-136.69999999999999</v>
      </c>
      <c r="AI9" s="63" t="str">
        <f t="shared" si="17"/>
        <v>7.69668600196596E-11</v>
      </c>
      <c r="AJ9" s="63">
        <f t="shared" ref="AJ9:AJ72" si="31">10*LOG(IMABS(AI9))</f>
        <v>-101.13696230784308</v>
      </c>
      <c r="AK9" s="63">
        <f t="shared" ref="AK9:AK72" si="32">10*LOG(IMABS(IMSUM(O9,Q9,S9,U9,AB9,AD9,AF9,AI9)))</f>
        <v>-93.159438790186783</v>
      </c>
      <c r="AL9" s="49">
        <f t="shared" si="18"/>
        <v>6.6142657499658292E-9</v>
      </c>
    </row>
    <row r="10" spans="1:54" x14ac:dyDescent="0.25">
      <c r="A10" s="92" t="s">
        <v>153</v>
      </c>
      <c r="B10" s="92" t="s">
        <v>154</v>
      </c>
      <c r="C10" s="91">
        <f>'4thOrderLoop'!C56</f>
        <v>150000</v>
      </c>
      <c r="D10" s="65"/>
      <c r="E10" s="64">
        <v>0.12589254117941703</v>
      </c>
      <c r="F10" s="61" t="str">
        <f t="shared" si="19"/>
        <v>791.006165022014i</v>
      </c>
      <c r="G10" s="83" t="str">
        <f t="shared" si="0"/>
        <v>663.682483617925-368785.493498707i</v>
      </c>
      <c r="H10" s="62" t="str">
        <f t="shared" si="1"/>
        <v>-543927.166993932-978.875089887613i</v>
      </c>
      <c r="I10" s="62" t="str">
        <f t="shared" si="2"/>
        <v>60.0001103087318-1.98516777198037E-07i</v>
      </c>
      <c r="J10" s="89" t="str">
        <f t="shared" si="3"/>
        <v>150796.724608391-0.00049892707850505i</v>
      </c>
      <c r="K10" s="89" t="str">
        <f t="shared" si="4"/>
        <v>0.000735874912624917+0.40889958764506i</v>
      </c>
      <c r="L10" s="89" t="str">
        <f t="shared" si="5"/>
        <v>-0.0000018384788634233+3.30861295501901E-09i</v>
      </c>
      <c r="M10" s="63">
        <f t="shared" si="20"/>
        <v>-130.02059991327963</v>
      </c>
      <c r="N10" s="63">
        <f t="shared" si="6"/>
        <v>-149.51029995663981</v>
      </c>
      <c r="O10" s="63" t="str">
        <f t="shared" si="7"/>
        <v>3.62327483806737E-10</v>
      </c>
      <c r="P10" s="63">
        <f t="shared" si="21"/>
        <v>-94.40898721960771</v>
      </c>
      <c r="Q10" s="63" t="str">
        <f t="shared" si="8"/>
        <v>2.51652150488983E-14</v>
      </c>
      <c r="R10" s="63">
        <f t="shared" si="22"/>
        <v>-135.99199353995201</v>
      </c>
      <c r="S10" s="63" t="str">
        <f t="shared" si="9"/>
        <v>7.16509595142242E-14</v>
      </c>
      <c r="T10" s="63">
        <f t="shared" si="23"/>
        <v>-131.44777989370715</v>
      </c>
      <c r="U10" s="63" t="str">
        <f t="shared" si="10"/>
        <v>1.00015944721838E-18</v>
      </c>
      <c r="V10" s="63">
        <f t="shared" si="24"/>
        <v>-179.99930758472942</v>
      </c>
      <c r="W10" s="63">
        <f t="shared" si="11"/>
        <v>109.08983404943042</v>
      </c>
      <c r="X10" s="63" t="str">
        <f t="shared" si="12"/>
        <v>720.703112101721-359151.417420076i</v>
      </c>
      <c r="Y10" s="90" t="str">
        <f t="shared" si="13"/>
        <v>7.60651029843128E-10-3.29225377001984E-07i</v>
      </c>
      <c r="Z10" s="90" t="str">
        <f t="shared" si="14"/>
        <v>7.20703112101721E-11-3.59151417420076E-08i</v>
      </c>
      <c r="AA10" s="90" t="str">
        <f t="shared" si="15"/>
        <v>3.80325514921564E-10-1.64612688500992E-07i</v>
      </c>
      <c r="AB10" s="90" t="str">
        <f t="shared" si="25"/>
        <v>1.14345432200995E-14</v>
      </c>
      <c r="AC10" s="90">
        <f t="shared" si="26"/>
        <v>-139.41781179632002</v>
      </c>
      <c r="AD10" s="90" t="str">
        <f t="shared" si="16"/>
        <v>2.13264559041054E-19-4.70197740328915E-38i</v>
      </c>
      <c r="AE10" s="63">
        <f t="shared" si="27"/>
        <v>-186.71081310944206</v>
      </c>
      <c r="AF10" s="63" t="str">
        <f t="shared" si="28"/>
        <v>4.12244529089902E-27</v>
      </c>
      <c r="AG10" s="63">
        <f t="shared" si="29"/>
        <v>-263.84845099180916</v>
      </c>
      <c r="AH10" s="116">
        <f t="shared" si="30"/>
        <v>-137.39999999999998</v>
      </c>
      <c r="AI10" s="63" t="str">
        <f t="shared" si="17"/>
        <v>6.55094717848536E-11</v>
      </c>
      <c r="AJ10" s="63">
        <f t="shared" si="31"/>
        <v>-101.8369590235173</v>
      </c>
      <c r="AK10" s="63">
        <f t="shared" si="32"/>
        <v>-93.686118328415304</v>
      </c>
      <c r="AL10" s="49">
        <f t="shared" si="18"/>
        <v>6.5737576061349342E-9</v>
      </c>
    </row>
    <row r="11" spans="1:54" x14ac:dyDescent="0.25">
      <c r="A11" s="92" t="s">
        <v>147</v>
      </c>
      <c r="B11" s="92" t="s">
        <v>176</v>
      </c>
      <c r="C11" s="91">
        <f>AVERAGE('4thOrderLoop'!C59:'4thOrderLoop'!C60)/1000000</f>
        <v>3000</v>
      </c>
      <c r="D11" s="66"/>
      <c r="E11" s="64">
        <v>0.14125375446227575</v>
      </c>
      <c r="F11" s="61" t="str">
        <f t="shared" si="19"/>
        <v>887.523514621324i</v>
      </c>
      <c r="G11" s="83" t="str">
        <f t="shared" si="0"/>
        <v>663.682471493868-328680.464674391i</v>
      </c>
      <c r="H11" s="62" t="str">
        <f t="shared" si="1"/>
        <v>-432056.768978942-872.423326240783i</v>
      </c>
      <c r="I11" s="62" t="str">
        <f t="shared" si="2"/>
        <v>60.0001388703951-2.80412346464489E-07i</v>
      </c>
      <c r="J11" s="89" t="str">
        <f t="shared" si="3"/>
        <v>150796.79639168-0.000704753093542764i</v>
      </c>
      <c r="K11" s="89" t="str">
        <f t="shared" si="4"/>
        <v>0.000926411447141778+0.458792650479024i</v>
      </c>
      <c r="L11" s="89" t="str">
        <f t="shared" si="5"/>
        <v>-2.31450658570932E-06+4.67353911020023E-09i</v>
      </c>
      <c r="M11" s="63">
        <f t="shared" si="20"/>
        <v>-130.52059991327963</v>
      </c>
      <c r="N11" s="63">
        <f t="shared" si="6"/>
        <v>-149.51029995663981</v>
      </c>
      <c r="O11" s="63" t="str">
        <f t="shared" si="7"/>
        <v>3.23363245207164E-10+1.92592994438724E-34i</v>
      </c>
      <c r="P11" s="63">
        <f t="shared" si="21"/>
        <v>-94.903093453166122</v>
      </c>
      <c r="Q11" s="63" t="str">
        <f t="shared" si="8"/>
        <v>2.51652390075398E-14</v>
      </c>
      <c r="R11" s="63">
        <f t="shared" si="22"/>
        <v>-135.99198940523638</v>
      </c>
      <c r="S11" s="63" t="str">
        <f t="shared" si="9"/>
        <v>7.16510277298008E-14-4.70197740328915E-38i</v>
      </c>
      <c r="T11" s="63">
        <f t="shared" si="23"/>
        <v>-131.44777575899153</v>
      </c>
      <c r="U11" s="63" t="str">
        <f t="shared" si="10"/>
        <v>1.25912591611206E-18</v>
      </c>
      <c r="V11" s="63">
        <f t="shared" si="24"/>
        <v>-178.99930837057946</v>
      </c>
      <c r="W11" s="63">
        <f t="shared" si="11"/>
        <v>109.08983404943042</v>
      </c>
      <c r="X11" s="63" t="str">
        <f t="shared" si="12"/>
        <v>720.703108762028-320094.05995713i</v>
      </c>
      <c r="Y11" s="90" t="str">
        <f t="shared" si="13"/>
        <v>7.60651026781712E-10-2.9342244650596E-07i</v>
      </c>
      <c r="Z11" s="90" t="str">
        <f t="shared" si="14"/>
        <v>7.20703108762028E-11-3.2009405995713E-08i</v>
      </c>
      <c r="AA11" s="90" t="str">
        <f t="shared" si="15"/>
        <v>3.80325513390856E-10-1.4671122325298E-07i</v>
      </c>
      <c r="AB11" s="90" t="str">
        <f t="shared" si="25"/>
        <v>1.14345585613125E-14</v>
      </c>
      <c r="AC11" s="90">
        <f t="shared" si="26"/>
        <v>-139.41780596958995</v>
      </c>
      <c r="AD11" s="90" t="str">
        <f t="shared" si="16"/>
        <v>2.68484125474155E-19</v>
      </c>
      <c r="AE11" s="63">
        <f t="shared" si="27"/>
        <v>-185.71081387516713</v>
      </c>
      <c r="AF11" s="63" t="str">
        <f t="shared" si="28"/>
        <v>6.53305680344058E-27+5.34552942018439E-51i</v>
      </c>
      <c r="AG11" s="63">
        <f t="shared" si="29"/>
        <v>-261.84883565702188</v>
      </c>
      <c r="AH11" s="116">
        <f t="shared" si="30"/>
        <v>-138.09999999999997</v>
      </c>
      <c r="AI11" s="63" t="str">
        <f t="shared" si="17"/>
        <v>5.57576563828792E-11</v>
      </c>
      <c r="AJ11" s="63">
        <f t="shared" si="31"/>
        <v>-102.53695488880162</v>
      </c>
      <c r="AK11" s="63">
        <f t="shared" si="32"/>
        <v>-94.210982828586211</v>
      </c>
      <c r="AL11" s="49">
        <f t="shared" si="18"/>
        <v>6.5362286507030471E-9</v>
      </c>
    </row>
    <row r="12" spans="1:54" x14ac:dyDescent="0.25">
      <c r="A12" s="92" t="s">
        <v>35</v>
      </c>
      <c r="B12" s="92" t="s">
        <v>155</v>
      </c>
      <c r="C12" s="91">
        <f>'4thOrderLoop'!C57</f>
        <v>48.5</v>
      </c>
      <c r="D12" s="67"/>
      <c r="E12" s="64">
        <v>0.15848931924611176</v>
      </c>
      <c r="F12" s="61" t="str">
        <f t="shared" si="19"/>
        <v>995.817762032064i</v>
      </c>
      <c r="G12" s="83" t="str">
        <f t="shared" si="0"/>
        <v>663.682456230586-292936.825921789i</v>
      </c>
      <c r="H12" s="62" t="str">
        <f t="shared" si="1"/>
        <v>-343194.953205788-777.548090079912i</v>
      </c>
      <c r="I12" s="62" t="str">
        <f t="shared" si="2"/>
        <v>60.0001748273578-3.96092870707638E-07i</v>
      </c>
      <c r="J12" s="89" t="str">
        <f t="shared" si="3"/>
        <v>150796.886761384-0.000995489960613937i</v>
      </c>
      <c r="K12" s="89" t="str">
        <f t="shared" si="4"/>
        <v>0.00116628262688522+0.514773491675393i</v>
      </c>
      <c r="L12" s="89" t="str">
        <f t="shared" si="5"/>
        <v>-2.91378929505632E-06+6.60154784227161E-09i</v>
      </c>
      <c r="M12" s="63">
        <f t="shared" si="20"/>
        <v>-131.02059991327963</v>
      </c>
      <c r="N12" s="63">
        <f t="shared" si="6"/>
        <v>-149.51029995663981</v>
      </c>
      <c r="O12" s="63" t="str">
        <f t="shared" si="7"/>
        <v>2.88636369508353E-10</v>
      </c>
      <c r="P12" s="63">
        <f t="shared" si="21"/>
        <v>-95.396489466949873</v>
      </c>
      <c r="Q12" s="63" t="str">
        <f t="shared" si="8"/>
        <v>2.51652691696644E-14</v>
      </c>
      <c r="R12" s="63">
        <f t="shared" si="22"/>
        <v>-135.99198419994647</v>
      </c>
      <c r="S12" s="63" t="str">
        <f t="shared" si="9"/>
        <v>7.16511136080723E-14-9.4039548065783E-38i</v>
      </c>
      <c r="T12" s="63">
        <f t="shared" si="23"/>
        <v>-131.44777055370162</v>
      </c>
      <c r="U12" s="63" t="str">
        <f t="shared" si="10"/>
        <v>1.58514525134436E-18+7.52316384526264E-37i</v>
      </c>
      <c r="V12" s="63">
        <f t="shared" si="24"/>
        <v>-177.99930935990662</v>
      </c>
      <c r="W12" s="63">
        <f t="shared" si="11"/>
        <v>109.08983404943042</v>
      </c>
      <c r="X12" s="63" t="str">
        <f t="shared" si="12"/>
        <v>720.703104557605-285284.156192094i</v>
      </c>
      <c r="Y12" s="90" t="str">
        <f t="shared" si="13"/>
        <v>7.6065102292762E-10-2.61513053602068E-07i</v>
      </c>
      <c r="Z12" s="90" t="str">
        <f t="shared" si="14"/>
        <v>7.20703104557605E-11-2.85284156192094E-08i</v>
      </c>
      <c r="AA12" s="90" t="str">
        <f t="shared" si="15"/>
        <v>3.8032551146381E-10-1.30756526801034E-07i</v>
      </c>
      <c r="AB12" s="90" t="str">
        <f t="shared" si="25"/>
        <v>1.1434577874745E-14-3.08148791101958E-33i</v>
      </c>
      <c r="AC12" s="90">
        <f t="shared" si="26"/>
        <v>-139.41779863418648</v>
      </c>
      <c r="AD12" s="90" t="str">
        <f t="shared" si="16"/>
        <v>3.38001413197501E-19</v>
      </c>
      <c r="AE12" s="63">
        <f t="shared" si="27"/>
        <v>-184.71081483915856</v>
      </c>
      <c r="AF12" s="63" t="str">
        <f t="shared" si="28"/>
        <v>1.03536247686597E-26+1.06910588403688E-50i</v>
      </c>
      <c r="AG12" s="63">
        <f t="shared" si="29"/>
        <v>-259.84907578571222</v>
      </c>
      <c r="AH12" s="116">
        <f t="shared" si="30"/>
        <v>-138.79999999999995</v>
      </c>
      <c r="AI12" s="63" t="str">
        <f t="shared" si="17"/>
        <v>4.7457519149245E-11</v>
      </c>
      <c r="AJ12" s="63">
        <f t="shared" si="31"/>
        <v>-103.2369496835117</v>
      </c>
      <c r="AK12" s="63">
        <f t="shared" si="32"/>
        <v>-94.733995245174597</v>
      </c>
      <c r="AL12" s="49">
        <f t="shared" si="18"/>
        <v>6.501686049425002E-9</v>
      </c>
    </row>
    <row r="13" spans="1:54" x14ac:dyDescent="0.25">
      <c r="A13" s="92" t="str">
        <f>'4thOrderLoop'!A58</f>
        <v>Fref</v>
      </c>
      <c r="B13" s="92" t="s">
        <v>12</v>
      </c>
      <c r="C13" s="91">
        <f>'4thOrderLoop'!C58</f>
        <v>50000000</v>
      </c>
      <c r="D13" s="60"/>
      <c r="E13" s="64">
        <v>0.17782794100389276</v>
      </c>
      <c r="F13" s="61" t="str">
        <f t="shared" si="19"/>
        <v>1117.32590612166i</v>
      </c>
      <c r="G13" s="83" t="str">
        <f t="shared" si="0"/>
        <v>663.682437015255-261080.280871213i</v>
      </c>
      <c r="H13" s="62" t="str">
        <f t="shared" si="1"/>
        <v>-272609.503948303-692.990444663948i</v>
      </c>
      <c r="I13" s="62" t="str">
        <f t="shared" si="2"/>
        <v>60.0002200944264-5.59495878372431E-07i</v>
      </c>
      <c r="J13" s="89" t="str">
        <f t="shared" si="3"/>
        <v>150797.000529937-0.00140616651342108i</v>
      </c>
      <c r="K13" s="89" t="str">
        <f t="shared" si="4"/>
        <v>0.00146826238351784+0.57758489291792i</v>
      </c>
      <c r="L13" s="89" t="str">
        <f t="shared" si="5"/>
        <v>-3.66824043794814E-06+9.32493130408736E-09i</v>
      </c>
      <c r="M13" s="63">
        <f t="shared" si="20"/>
        <v>-131.52059991327963</v>
      </c>
      <c r="N13" s="63">
        <f t="shared" si="6"/>
        <v>-149.51029995663981</v>
      </c>
      <c r="O13" s="63" t="str">
        <f t="shared" si="7"/>
        <v>2.57686052361617E-10</v>
      </c>
      <c r="P13" s="63">
        <f t="shared" si="21"/>
        <v>-95.889090876435645</v>
      </c>
      <c r="Q13" s="63" t="str">
        <f t="shared" si="8"/>
        <v>2.51653071415006E-14</v>
      </c>
      <c r="R13" s="63">
        <f t="shared" si="22"/>
        <v>-135.99197764688861</v>
      </c>
      <c r="S13" s="63" t="str">
        <f t="shared" si="9"/>
        <v>7.1651221722328E-14</v>
      </c>
      <c r="T13" s="63">
        <f t="shared" si="23"/>
        <v>-131.44776400064376</v>
      </c>
      <c r="U13" s="63" t="str">
        <f t="shared" si="10"/>
        <v>1.9955790660005E-18</v>
      </c>
      <c r="V13" s="63">
        <f t="shared" si="24"/>
        <v>-176.99931060539708</v>
      </c>
      <c r="W13" s="63">
        <f t="shared" si="11"/>
        <v>109.08983404943042</v>
      </c>
      <c r="X13" s="63" t="str">
        <f t="shared" si="12"/>
        <v>720.703099264551-254259.79985126i</v>
      </c>
      <c r="Y13" s="90" t="str">
        <f t="shared" si="13"/>
        <v>7.60651018075606E-10-2.33073780033482E-07i</v>
      </c>
      <c r="Z13" s="90" t="str">
        <f t="shared" si="14"/>
        <v>7.20703099264551E-11-2.5425979985126E-08i</v>
      </c>
      <c r="AA13" s="90" t="str">
        <f t="shared" si="15"/>
        <v>3.80325509037803E-10-1.16536890016741E-07i</v>
      </c>
      <c r="AB13" s="90" t="str">
        <f t="shared" si="25"/>
        <v>1.14346021888995E-14</v>
      </c>
      <c r="AC13" s="90">
        <f t="shared" si="26"/>
        <v>-139.41778939948446</v>
      </c>
      <c r="AD13" s="90" t="str">
        <f t="shared" si="16"/>
        <v>4.25518449389584E-19</v>
      </c>
      <c r="AE13" s="63">
        <f t="shared" si="27"/>
        <v>-183.71081605275307</v>
      </c>
      <c r="AF13" s="63" t="str">
        <f t="shared" si="28"/>
        <v>1.64088292773832E-26-2.13821176807376E-50i</v>
      </c>
      <c r="AG13" s="63">
        <f t="shared" si="29"/>
        <v>-257.84922403499598</v>
      </c>
      <c r="AH13" s="116">
        <f t="shared" si="30"/>
        <v>-139.49999999999994</v>
      </c>
      <c r="AI13" s="63" t="str">
        <f t="shared" si="17"/>
        <v>4.03929606954245E-11</v>
      </c>
      <c r="AJ13" s="63">
        <f t="shared" si="31"/>
        <v>-103.93694313045387</v>
      </c>
      <c r="AK13" s="63">
        <f t="shared" si="32"/>
        <v>-95.255109060186243</v>
      </c>
      <c r="AL13" s="49">
        <f t="shared" si="18"/>
        <v>6.4701539321986179E-9</v>
      </c>
    </row>
    <row r="14" spans="1:54" x14ac:dyDescent="0.25">
      <c r="A14" s="92" t="str">
        <f>'4thOrderLoop'!A62</f>
        <v>VCO Kv</v>
      </c>
      <c r="B14" s="92" t="s">
        <v>24</v>
      </c>
      <c r="C14" s="91">
        <f>'4thOrderLoop'!C62</f>
        <v>28000000</v>
      </c>
      <c r="D14" s="60"/>
      <c r="E14" s="64">
        <v>0.19952623149688853</v>
      </c>
      <c r="F14" s="61" t="str">
        <f t="shared" si="19"/>
        <v>1253.66028613816i</v>
      </c>
      <c r="G14" s="83" t="str">
        <f t="shared" si="0"/>
        <v>663.682412824585-232688.11252474i</v>
      </c>
      <c r="H14" s="62" t="str">
        <f t="shared" si="1"/>
        <v>-216541.488642387-617.628361412428i</v>
      </c>
      <c r="I14" s="62" t="str">
        <f t="shared" si="2"/>
        <v>60.0002770821856-7.90308626906753E-07i</v>
      </c>
      <c r="J14" s="89" t="str">
        <f t="shared" si="3"/>
        <v>150797.143755796-0.00198626221848855i</v>
      </c>
      <c r="K14" s="89" t="str">
        <f t="shared" si="4"/>
        <v>0.00184843210814864+0.648060252617683i</v>
      </c>
      <c r="L14" s="89" t="str">
        <f t="shared" si="5"/>
        <v>-4.61803642813313E-06+1.31718104541695E-08i</v>
      </c>
      <c r="M14" s="63">
        <f t="shared" si="20"/>
        <v>-132.02059991327963</v>
      </c>
      <c r="N14" s="63">
        <f t="shared" si="6"/>
        <v>-149.51029995663981</v>
      </c>
      <c r="O14" s="63" t="str">
        <f t="shared" si="7"/>
        <v>2.30101602105724E-10</v>
      </c>
      <c r="P14" s="63">
        <f t="shared" si="21"/>
        <v>-96.380803575014866</v>
      </c>
      <c r="Q14" s="63" t="str">
        <f t="shared" si="8"/>
        <v>2.51653549451629E-14+4.70197740328915E-38i</v>
      </c>
      <c r="R14" s="63">
        <f t="shared" si="22"/>
        <v>-135.99196939709975</v>
      </c>
      <c r="S14" s="63" t="str">
        <f t="shared" si="9"/>
        <v>7.16513578299776E-14</v>
      </c>
      <c r="T14" s="63">
        <f t="shared" si="23"/>
        <v>-131.44775575085492</v>
      </c>
      <c r="U14" s="63" t="str">
        <f t="shared" si="10"/>
        <v>2.51228429039447E-18-1.50463276905253E-36i</v>
      </c>
      <c r="V14" s="63">
        <f t="shared" si="24"/>
        <v>-175.9993121733786</v>
      </c>
      <c r="W14" s="63">
        <f t="shared" si="11"/>
        <v>109.08983404943042</v>
      </c>
      <c r="X14" s="63" t="str">
        <f t="shared" si="12"/>
        <v>720.703092600989-226609.316575277i</v>
      </c>
      <c r="Y14" s="90" t="str">
        <f t="shared" si="13"/>
        <v>7.6065101196728E-10-2.07727253918634E-07i</v>
      </c>
      <c r="Z14" s="90" t="str">
        <f t="shared" si="14"/>
        <v>7.20703092600989E-11-2.26609316575277E-08i</v>
      </c>
      <c r="AA14" s="90" t="str">
        <f t="shared" si="15"/>
        <v>3.8032550598364E-10-1.03863626959317E-07i</v>
      </c>
      <c r="AB14" s="90" t="str">
        <f t="shared" si="25"/>
        <v>1.14346327985799E-14</v>
      </c>
      <c r="AC14" s="90">
        <f t="shared" si="26"/>
        <v>-139.4177777737215</v>
      </c>
      <c r="AD14" s="90" t="str">
        <f t="shared" si="16"/>
        <v>5.35695800668559E-19</v>
      </c>
      <c r="AE14" s="63">
        <f t="shared" si="27"/>
        <v>-182.71081758058017</v>
      </c>
      <c r="AF14" s="63" t="str">
        <f t="shared" si="28"/>
        <v>2.60057063223083E-26-4.27642353614751E-50i</v>
      </c>
      <c r="AG14" s="63">
        <f t="shared" si="29"/>
        <v>-255.84931346168514</v>
      </c>
      <c r="AH14" s="116">
        <f t="shared" si="30"/>
        <v>-140.19999999999993</v>
      </c>
      <c r="AI14" s="63" t="str">
        <f t="shared" si="17"/>
        <v>3.43800506312249E-11</v>
      </c>
      <c r="AJ14" s="63">
        <f t="shared" si="31"/>
        <v>-104.63693488066495</v>
      </c>
      <c r="AK14" s="63">
        <f t="shared" si="32"/>
        <v>-95.774267261391785</v>
      </c>
      <c r="AL14" s="49">
        <f t="shared" si="18"/>
        <v>6.4416747526282891E-9</v>
      </c>
    </row>
    <row r="15" spans="1:54" x14ac:dyDescent="0.25">
      <c r="A15" s="92" t="s">
        <v>164</v>
      </c>
      <c r="B15" s="92"/>
      <c r="C15" s="91" t="str">
        <f>'4thOrderLoop'!C69</f>
        <v>5|6</v>
      </c>
      <c r="D15" s="66"/>
      <c r="E15" s="64">
        <v>0.22387211385683461</v>
      </c>
      <c r="F15" s="61" t="str">
        <f t="shared" si="19"/>
        <v>1406.6299764725i</v>
      </c>
      <c r="G15" s="83" t="str">
        <f t="shared" si="0"/>
        <v>663.682382370337-207383.574058475i</v>
      </c>
      <c r="H15" s="62" t="str">
        <f t="shared" si="1"/>
        <v>-172005.081019935-550.461831267913i</v>
      </c>
      <c r="I15" s="62" t="str">
        <f t="shared" si="2"/>
        <v>60.0003488253601-1.11634006209442E-06i</v>
      </c>
      <c r="J15" s="89" t="str">
        <f t="shared" si="3"/>
        <v>150797.324066061-0.00280566858938267i</v>
      </c>
      <c r="K15" s="89" t="str">
        <f t="shared" si="4"/>
        <v>0.00232703701553544+0.727134636082946i</v>
      </c>
      <c r="L15" s="89" t="str">
        <f t="shared" si="5"/>
        <v>-5.81375600137178E-06+1.86056677032507E-08i</v>
      </c>
      <c r="M15" s="63">
        <f t="shared" si="20"/>
        <v>-132.52059991327963</v>
      </c>
      <c r="N15" s="63">
        <f t="shared" si="6"/>
        <v>-149.51029995663981</v>
      </c>
      <c r="O15" s="63" t="str">
        <f t="shared" si="7"/>
        <v>2.05516990151004E-10</v>
      </c>
      <c r="P15" s="63">
        <f t="shared" si="21"/>
        <v>-96.871522690491361</v>
      </c>
      <c r="Q15" s="63" t="str">
        <f t="shared" si="8"/>
        <v>2.51654151263363E-14</v>
      </c>
      <c r="R15" s="63">
        <f t="shared" si="22"/>
        <v>-135.99195901126561</v>
      </c>
      <c r="S15" s="63" t="str">
        <f t="shared" si="9"/>
        <v>7.1651529179152E-14</v>
      </c>
      <c r="T15" s="63">
        <f t="shared" si="23"/>
        <v>-131.44774536502075</v>
      </c>
      <c r="U15" s="63" t="str">
        <f t="shared" si="10"/>
        <v>3.16277709726911E-18</v>
      </c>
      <c r="V15" s="63">
        <f t="shared" si="24"/>
        <v>-174.99931414735312</v>
      </c>
      <c r="W15" s="63">
        <f t="shared" si="11"/>
        <v>109.08983404943042</v>
      </c>
      <c r="X15" s="63" t="str">
        <f t="shared" si="12"/>
        <v>720.703084212061-201965.801250518i</v>
      </c>
      <c r="Y15" s="90" t="str">
        <f t="shared" si="13"/>
        <v>7.60651004277354E-10-1.85137142255624E-07i</v>
      </c>
      <c r="Z15" s="90" t="str">
        <f t="shared" si="14"/>
        <v>7.20703084212061E-11-2.01965801250518E-08i</v>
      </c>
      <c r="AA15" s="90" t="str">
        <f t="shared" si="15"/>
        <v>3.80325502138677E-10-9.2568571127812E-08i</v>
      </c>
      <c r="AB15" s="90" t="str">
        <f t="shared" si="25"/>
        <v>1.14346713338438E-14-6.16297582203915E-33i</v>
      </c>
      <c r="AC15" s="90">
        <f t="shared" si="26"/>
        <v>-139.4177631378127</v>
      </c>
      <c r="AD15" s="90" t="str">
        <f t="shared" si="16"/>
        <v>6.74400757771368E-19+3.76158192263132E-37i</v>
      </c>
      <c r="AE15" s="63">
        <f t="shared" si="27"/>
        <v>-181.7108195040031</v>
      </c>
      <c r="AF15" s="63" t="str">
        <f t="shared" si="28"/>
        <v>4.12157805830666E-26-8.55284707229503E-50i</v>
      </c>
      <c r="AG15" s="63">
        <f t="shared" si="29"/>
        <v>-253.84936470666614</v>
      </c>
      <c r="AH15" s="116">
        <f t="shared" si="30"/>
        <v>-140.89999999999992</v>
      </c>
      <c r="AI15" s="63" t="str">
        <f t="shared" si="17"/>
        <v>2.9262238825974E-11</v>
      </c>
      <c r="AJ15" s="63">
        <f t="shared" si="31"/>
        <v>-105.33692449483084</v>
      </c>
      <c r="AK15" s="63">
        <f t="shared" si="32"/>
        <v>-96.291401232304153</v>
      </c>
      <c r="AL15" s="49">
        <f t="shared" si="18"/>
        <v>6.4163108492496397E-9</v>
      </c>
    </row>
    <row r="16" spans="1:54" x14ac:dyDescent="0.25">
      <c r="A16" s="92" t="s">
        <v>162</v>
      </c>
      <c r="B16" s="92"/>
      <c r="C16" s="91" t="str">
        <f>'4thOrderLoop'!C72</f>
        <v>MASH 1-1-1</v>
      </c>
      <c r="D16" s="49"/>
      <c r="E16" s="64">
        <v>0.25118864315095879</v>
      </c>
      <c r="F16" s="61" t="str">
        <f t="shared" si="19"/>
        <v>1578.26479197648i</v>
      </c>
      <c r="G16" s="83" t="str">
        <f t="shared" si="0"/>
        <v>663.682344030711-184830.88962111i</v>
      </c>
      <c r="H16" s="62" t="str">
        <f t="shared" si="1"/>
        <v>-136628.554972231-490.599595183372i</v>
      </c>
      <c r="I16" s="62" t="str">
        <f t="shared" si="2"/>
        <v>60.0004391444053-1.57687127998431E-06i</v>
      </c>
      <c r="J16" s="89" t="str">
        <f t="shared" si="3"/>
        <v>150797.55106258-0.00396310978161215i</v>
      </c>
      <c r="K16" s="89" t="str">
        <f t="shared" si="4"/>
        <v>0.00292956423040062+0.815857171231741i</v>
      </c>
      <c r="L16" s="89" t="str">
        <f t="shared" si="5"/>
        <v>-7.31907342309572E-06+2.62811880020684E-08i</v>
      </c>
      <c r="M16" s="63">
        <f t="shared" si="20"/>
        <v>-133.02059991327963</v>
      </c>
      <c r="N16" s="63">
        <f t="shared" si="6"/>
        <v>-149.51029995663981</v>
      </c>
      <c r="O16" s="63" t="str">
        <f t="shared" si="7"/>
        <v>1.83605994018617E-10</v>
      </c>
      <c r="P16" s="63">
        <f t="shared" si="21"/>
        <v>-97.361131448846805</v>
      </c>
      <c r="Q16" s="63" t="str">
        <f t="shared" si="8"/>
        <v>2.51654908898284E-14</v>
      </c>
      <c r="R16" s="63">
        <f t="shared" si="22"/>
        <v>-135.9919459363305</v>
      </c>
      <c r="S16" s="63" t="str">
        <f t="shared" si="9"/>
        <v>7.16517448946503E-14</v>
      </c>
      <c r="T16" s="63">
        <f t="shared" si="23"/>
        <v>-131.44773229008564</v>
      </c>
      <c r="U16" s="63" t="str">
        <f t="shared" si="10"/>
        <v>3.98169818121071E-18</v>
      </c>
      <c r="V16" s="63">
        <f t="shared" si="24"/>
        <v>-173.99931663244462</v>
      </c>
      <c r="W16" s="63">
        <f t="shared" si="11"/>
        <v>109.08983404943042</v>
      </c>
      <c r="X16" s="63" t="str">
        <f t="shared" si="12"/>
        <v>720.703073651031-180002.249401145i</v>
      </c>
      <c r="Y16" s="90" t="str">
        <f t="shared" si="13"/>
        <v>7.60650994596314E-10-1.6500368798763E-07i</v>
      </c>
      <c r="Z16" s="90" t="str">
        <f t="shared" si="14"/>
        <v>7.20703073651031E-11-1.80002249401145E-08i</v>
      </c>
      <c r="AA16" s="90" t="str">
        <f t="shared" si="15"/>
        <v>3.80325497298157E-10-8.2501843993815E-08i</v>
      </c>
      <c r="AB16" s="90" t="str">
        <f t="shared" si="25"/>
        <v>1.14347198468012E-14</v>
      </c>
      <c r="AC16" s="90">
        <f t="shared" si="26"/>
        <v>-139.41774471239023</v>
      </c>
      <c r="AD16" s="90" t="str">
        <f t="shared" si="16"/>
        <v>8.4901977831229E-19-3.76158192263132E-37i</v>
      </c>
      <c r="AE16" s="63">
        <f t="shared" si="27"/>
        <v>-180.71082192545401</v>
      </c>
      <c r="AF16" s="63" t="str">
        <f t="shared" si="28"/>
        <v>6.53222218294088E-26</v>
      </c>
      <c r="AG16" s="63">
        <f t="shared" si="29"/>
        <v>-251.84939051861861</v>
      </c>
      <c r="AH16" s="116">
        <f t="shared" si="30"/>
        <v>-141.59999999999991</v>
      </c>
      <c r="AI16" s="63" t="str">
        <f t="shared" si="17"/>
        <v>2.49062795308566E-11</v>
      </c>
      <c r="AJ16" s="63">
        <f t="shared" si="31"/>
        <v>-106.03691141989572</v>
      </c>
      <c r="AK16" s="63">
        <f t="shared" si="32"/>
        <v>-96.806429549084186</v>
      </c>
      <c r="AL16" s="49">
        <f t="shared" si="18"/>
        <v>6.394146232493525E-9</v>
      </c>
    </row>
    <row r="17" spans="1:38" x14ac:dyDescent="0.25">
      <c r="A17" s="92" t="str">
        <f>'4thOrderLoop'!A63</f>
        <v>L(foffset)</v>
      </c>
      <c r="B17" s="92" t="s">
        <v>46</v>
      </c>
      <c r="C17" s="91">
        <f>'4thOrderLoop'!C63</f>
        <v>-130</v>
      </c>
      <c r="D17" s="49"/>
      <c r="E17" s="64">
        <v>0.28183829312644626</v>
      </c>
      <c r="F17" s="61" t="str">
        <f t="shared" si="19"/>
        <v>1770.84222237266i</v>
      </c>
      <c r="G17" s="83" t="str">
        <f t="shared" si="0"/>
        <v>663.682295763989-164730.798792357i</v>
      </c>
      <c r="H17" s="62" t="str">
        <f t="shared" si="1"/>
        <v>-108527.981486073-437.247317656123i</v>
      </c>
      <c r="I17" s="62" t="str">
        <f t="shared" si="2"/>
        <v>60.0005528489346-2.22738816093918E-06i</v>
      </c>
      <c r="J17" s="89" t="str">
        <f t="shared" si="3"/>
        <v>150797.836833231-0.00559803702506945i</v>
      </c>
      <c r="K17" s="89" t="str">
        <f t="shared" si="4"/>
        <v>0.00368809999813443+0.915404952880941i</v>
      </c>
      <c r="L17" s="89" t="str">
        <f t="shared" si="5"/>
        <v>-9.21414890855212E-06+3.71231360126377E-08i</v>
      </c>
      <c r="M17" s="63">
        <f t="shared" si="20"/>
        <v>-133.52059991327963</v>
      </c>
      <c r="N17" s="63">
        <f t="shared" si="6"/>
        <v>-149.51029995663981</v>
      </c>
      <c r="O17" s="63" t="str">
        <f t="shared" si="7"/>
        <v>1.64077868586963E-10</v>
      </c>
      <c r="P17" s="63">
        <f t="shared" si="21"/>
        <v>-97.849499941982771</v>
      </c>
      <c r="Q17" s="63" t="str">
        <f t="shared" si="8"/>
        <v>2.51655862702305E-14</v>
      </c>
      <c r="R17" s="63">
        <f t="shared" si="22"/>
        <v>-135.99192947605002</v>
      </c>
      <c r="S17" s="63" t="str">
        <f t="shared" si="9"/>
        <v>7.16520164638508E-14</v>
      </c>
      <c r="T17" s="63">
        <f t="shared" si="23"/>
        <v>-131.44771582980516</v>
      </c>
      <c r="U17" s="63" t="str">
        <f t="shared" si="10"/>
        <v>5.01265741142267E-18</v>
      </c>
      <c r="V17" s="63">
        <f t="shared" si="24"/>
        <v>-172.99931976099671</v>
      </c>
      <c r="W17" s="63">
        <f t="shared" si="11"/>
        <v>109.08983404943042</v>
      </c>
      <c r="X17" s="63" t="str">
        <f t="shared" si="12"/>
        <v>720.70306035548-160427.218038384i</v>
      </c>
      <c r="Y17" s="90" t="str">
        <f t="shared" si="13"/>
        <v>7.60650982408606E-10-1.4705973240888E-07i</v>
      </c>
      <c r="Z17" s="90" t="str">
        <f t="shared" si="14"/>
        <v>7.2070306035548E-11-1.60427218038384E-08i</v>
      </c>
      <c r="AA17" s="90" t="str">
        <f t="shared" si="15"/>
        <v>3.80325491204303E-10-7.352986620444E-08i</v>
      </c>
      <c r="AB17" s="90" t="str">
        <f t="shared" si="25"/>
        <v>1.14347809208924E-14+6.16297582203915E-33i</v>
      </c>
      <c r="AC17" s="90">
        <f t="shared" si="26"/>
        <v>-139.41772151630821</v>
      </c>
      <c r="AD17" s="90" t="str">
        <f t="shared" si="16"/>
        <v>1.06885182377621E-18</v>
      </c>
      <c r="AE17" s="63">
        <f t="shared" si="27"/>
        <v>-179.71082497388736</v>
      </c>
      <c r="AF17" s="63" t="str">
        <f t="shared" si="28"/>
        <v>1.03528552177287E-25</v>
      </c>
      <c r="AG17" s="63">
        <f t="shared" si="29"/>
        <v>-249.84939859453661</v>
      </c>
      <c r="AH17" s="116">
        <f t="shared" si="30"/>
        <v>-142.2999999999999</v>
      </c>
      <c r="AI17" s="63" t="str">
        <f t="shared" si="17"/>
        <v>2.11987622445065E-11</v>
      </c>
      <c r="AJ17" s="63">
        <f t="shared" si="31"/>
        <v>-106.73689495961519</v>
      </c>
      <c r="AK17" s="63">
        <f t="shared" si="32"/>
        <v>-97.319256680477054</v>
      </c>
      <c r="AL17" s="49">
        <f t="shared" si="18"/>
        <v>6.3752886247550327E-9</v>
      </c>
    </row>
    <row r="18" spans="1:38" x14ac:dyDescent="0.25">
      <c r="A18" s="92" t="str">
        <f>'4thOrderLoop'!A64</f>
        <v>foffset</v>
      </c>
      <c r="B18" s="92" t="s">
        <v>12</v>
      </c>
      <c r="C18" s="91">
        <f>'4thOrderLoop'!C64</f>
        <v>100000</v>
      </c>
      <c r="D18" s="49"/>
      <c r="E18" s="64">
        <v>0.316227766016839</v>
      </c>
      <c r="F18" s="61" t="str">
        <f t="shared" si="19"/>
        <v>1986.91765315923i</v>
      </c>
      <c r="G18" s="83" t="str">
        <f t="shared" si="0"/>
        <v>663.682234999788-146816.585579018i</v>
      </c>
      <c r="H18" s="62" t="str">
        <f t="shared" si="1"/>
        <v>-86206.9025540678-389.697046378315i</v>
      </c>
      <c r="I18" s="62" t="str">
        <f t="shared" si="2"/>
        <v>60.0006959938024-3.14626633528279E-06i</v>
      </c>
      <c r="J18" s="89" t="str">
        <f t="shared" si="3"/>
        <v>150798.196595523-0.0079074297596702i</v>
      </c>
      <c r="K18" s="89" t="str">
        <f t="shared" si="4"/>
        <v>0.00464303828084061+1.02709863806457i</v>
      </c>
      <c r="L18" s="89" t="str">
        <f t="shared" si="5"/>
        <v>-0.000011599896706932+5.24377722528891E-08i</v>
      </c>
      <c r="M18" s="63">
        <f t="shared" si="20"/>
        <v>-134.02059991327963</v>
      </c>
      <c r="N18" s="63">
        <f t="shared" si="6"/>
        <v>-149.51029995663981</v>
      </c>
      <c r="O18" s="63" t="str">
        <f t="shared" si="7"/>
        <v>1.46673488106339E-10-1.54074395550979E-33i</v>
      </c>
      <c r="P18" s="63">
        <f t="shared" si="21"/>
        <v>-98.33648379746765</v>
      </c>
      <c r="Q18" s="63" t="str">
        <f t="shared" si="8"/>
        <v>2.51657063467514E-14-1.88079096131566E-37i</v>
      </c>
      <c r="R18" s="63">
        <f t="shared" si="22"/>
        <v>-135.99190875392361</v>
      </c>
      <c r="S18" s="63" t="str">
        <f t="shared" si="9"/>
        <v>7.16523583483893E-14</v>
      </c>
      <c r="T18" s="63">
        <f t="shared" si="23"/>
        <v>-131.44769510767875</v>
      </c>
      <c r="U18" s="63" t="str">
        <f t="shared" si="10"/>
        <v>6.31055607279945E-18</v>
      </c>
      <c r="V18" s="63">
        <f t="shared" si="24"/>
        <v>-171.99932369962232</v>
      </c>
      <c r="W18" s="63">
        <f t="shared" si="11"/>
        <v>109.08983404943042</v>
      </c>
      <c r="X18" s="63" t="str">
        <f t="shared" si="12"/>
        <v>720.703043617371-142980.95838914i</v>
      </c>
      <c r="Y18" s="90" t="str">
        <f t="shared" si="13"/>
        <v>7.60650967065188E-10-1.31067170130952E-07i</v>
      </c>
      <c r="Z18" s="90" t="str">
        <f t="shared" si="14"/>
        <v>7.20703043617371E-11-1.4298095838914E-08i</v>
      </c>
      <c r="AA18" s="90" t="str">
        <f t="shared" si="15"/>
        <v>3.80325483532594E-10-6.5533585065476E-08i</v>
      </c>
      <c r="AB18" s="90" t="str">
        <f t="shared" si="25"/>
        <v>1.1434857808453E-14-6.16297582203915E-33i</v>
      </c>
      <c r="AC18" s="90">
        <f t="shared" si="26"/>
        <v>-139.41769231440983</v>
      </c>
      <c r="AD18" s="90" t="str">
        <f t="shared" si="16"/>
        <v>1.3456035333145E-18</v>
      </c>
      <c r="AE18" s="63">
        <f t="shared" si="27"/>
        <v>-178.71082881164938</v>
      </c>
      <c r="AF18" s="63" t="str">
        <f t="shared" si="28"/>
        <v>1.64081895570318E-25+1.3684555315672E-48i</v>
      </c>
      <c r="AG18" s="63">
        <f t="shared" si="29"/>
        <v>-247.84939335386071</v>
      </c>
      <c r="AH18" s="116">
        <f t="shared" si="30"/>
        <v>-142.99999999999989</v>
      </c>
      <c r="AI18" s="63" t="str">
        <f t="shared" si="17"/>
        <v>1.80431590008602E-11</v>
      </c>
      <c r="AJ18" s="63">
        <f t="shared" si="31"/>
        <v>-107.43687423748878</v>
      </c>
      <c r="AK18" s="63">
        <f t="shared" si="32"/>
        <v>-97.829771588212168</v>
      </c>
      <c r="AL18" s="49">
        <f t="shared" si="18"/>
        <v>6.3598717847002681E-9</v>
      </c>
    </row>
    <row r="19" spans="1:38" x14ac:dyDescent="0.25">
      <c r="A19" s="92" t="str">
        <f>'4thOrderLoop'!A65</f>
        <v>Icp</v>
      </c>
      <c r="B19" s="92" t="s">
        <v>13</v>
      </c>
      <c r="C19" s="91">
        <f>'4thOrderLoop'!C65</f>
        <v>2.5000000000000001E-3</v>
      </c>
      <c r="D19" s="49"/>
      <c r="E19" s="64">
        <v>0.35481338923357669</v>
      </c>
      <c r="F19" s="61" t="str">
        <f t="shared" si="19"/>
        <v>2229.358274023i</v>
      </c>
      <c r="G19" s="83" t="str">
        <f t="shared" si="0"/>
        <v>663.6821585022-130850.539255781i</v>
      </c>
      <c r="H19" s="62" t="str">
        <f t="shared" si="1"/>
        <v>-68476.6393288578-347.317818139943i</v>
      </c>
      <c r="I19" s="62" t="str">
        <f t="shared" si="2"/>
        <v>60.0008762014789-4.44421386726327E-06i</v>
      </c>
      <c r="J19" s="89" t="str">
        <f t="shared" si="3"/>
        <v>150798.649506814-0.0111695277104996i</v>
      </c>
      <c r="K19" s="89" t="str">
        <f t="shared" si="4"/>
        <v>0.00584523170319255+1.15241993642879i</v>
      </c>
      <c r="L19" s="89" t="str">
        <f t="shared" si="5"/>
        <v>-0.00001460335798088+7.40702311237606E-08i</v>
      </c>
      <c r="M19" s="63">
        <f t="shared" si="20"/>
        <v>-134.52059991327963</v>
      </c>
      <c r="N19" s="63">
        <f t="shared" si="6"/>
        <v>-149.51029995663981</v>
      </c>
      <c r="O19" s="63" t="str">
        <f t="shared" si="7"/>
        <v>1.31161907790145E-10</v>
      </c>
      <c r="P19" s="63">
        <f t="shared" si="21"/>
        <v>-98.821922750103965</v>
      </c>
      <c r="Q19" s="63" t="str">
        <f t="shared" si="8"/>
        <v>2.51658575136742E-14</v>
      </c>
      <c r="R19" s="63">
        <f t="shared" si="22"/>
        <v>-135.99188266653218</v>
      </c>
      <c r="S19" s="63" t="str">
        <f t="shared" si="9"/>
        <v>7.16527887542111E-14</v>
      </c>
      <c r="T19" s="63">
        <f t="shared" si="23"/>
        <v>-131.44766902028732</v>
      </c>
      <c r="U19" s="63" t="str">
        <f t="shared" si="10"/>
        <v>7.94451033213755E-18+6.01853107621011E-36i</v>
      </c>
      <c r="V19" s="63">
        <f t="shared" si="24"/>
        <v>-170.99932865807671</v>
      </c>
      <c r="W19" s="63">
        <f t="shared" si="11"/>
        <v>109.08983404943042</v>
      </c>
      <c r="X19" s="63" t="str">
        <f t="shared" si="12"/>
        <v>720.703022545346-127431.969187594i</v>
      </c>
      <c r="Y19" s="90" t="str">
        <f t="shared" si="13"/>
        <v>7.60650947748975E-10-1.16813789568928E-07i</v>
      </c>
      <c r="Z19" s="90" t="str">
        <f t="shared" si="14"/>
        <v>7.20703022545346E-11-1.27431969187594E-08i</v>
      </c>
      <c r="AA19" s="90" t="str">
        <f t="shared" si="15"/>
        <v>3.80325473874488E-10-5.8406894784464E-08i</v>
      </c>
      <c r="AB19" s="90" t="str">
        <f t="shared" si="25"/>
        <v>1.14349546038969E-14</v>
      </c>
      <c r="AC19" s="90">
        <f t="shared" si="26"/>
        <v>-139.41765555177585</v>
      </c>
      <c r="AD19" s="90" t="str">
        <f t="shared" si="16"/>
        <v>1.69401259771963E-18</v>
      </c>
      <c r="AE19" s="63">
        <f t="shared" si="27"/>
        <v>-177.71083364312409</v>
      </c>
      <c r="AF19" s="63" t="str">
        <f t="shared" si="28"/>
        <v>2.60053256473204E-25-2.73691106313441E-48i</v>
      </c>
      <c r="AG19" s="63">
        <f t="shared" si="29"/>
        <v>-245.8493770347543</v>
      </c>
      <c r="AH19" s="116">
        <f t="shared" si="30"/>
        <v>-143.69999999999987</v>
      </c>
      <c r="AI19" s="63" t="str">
        <f t="shared" si="17"/>
        <v>1.53573112036592E-11</v>
      </c>
      <c r="AJ19" s="63">
        <f t="shared" si="31"/>
        <v>-108.13684815009735</v>
      </c>
      <c r="AK19" s="63">
        <f t="shared" si="32"/>
        <v>-98.337846227123464</v>
      </c>
      <c r="AL19" s="49">
        <f t="shared" si="18"/>
        <v>6.3480581512948714E-9</v>
      </c>
    </row>
    <row r="20" spans="1:38" x14ac:dyDescent="0.25">
      <c r="A20" s="92" t="str">
        <f>'4thOrderLoop'!A73</f>
        <v>N</v>
      </c>
      <c r="B20" s="92"/>
      <c r="C20" s="91">
        <f>'4thOrderLoop'!C73</f>
        <v>60</v>
      </c>
      <c r="D20" s="49"/>
      <c r="E20" s="64">
        <v>0.39810717055349865</v>
      </c>
      <c r="F20" s="61" t="str">
        <f t="shared" si="19"/>
        <v>2501.38112470458i</v>
      </c>
      <c r="G20" s="83" t="str">
        <f t="shared" si="0"/>
        <v>663.682062197457-116620.800088333i</v>
      </c>
      <c r="H20" s="62" t="str">
        <f t="shared" si="1"/>
        <v>-54392.9906399705-309.547286330392i</v>
      </c>
      <c r="I20" s="62" t="str">
        <f t="shared" si="2"/>
        <v>60.0011030678612-6.27760924143792E-06i</v>
      </c>
      <c r="J20" s="89" t="str">
        <f t="shared" si="3"/>
        <v>150799.219684222-0.0157773528598107i</v>
      </c>
      <c r="K20" s="89" t="str">
        <f t="shared" si="4"/>
        <v>0.00735869935496804+1.29303122370316i</v>
      </c>
      <c r="L20" s="89" t="str">
        <f t="shared" si="5"/>
        <v>-0.0000183844643537783+1.04626820684292E-07i</v>
      </c>
      <c r="M20" s="63">
        <f t="shared" si="20"/>
        <v>-135.02059991327963</v>
      </c>
      <c r="N20" s="63">
        <f t="shared" si="6"/>
        <v>-149.51029995663981</v>
      </c>
      <c r="O20" s="63" t="str">
        <f t="shared" si="7"/>
        <v>1.1733729935872E-10</v>
      </c>
      <c r="P20" s="63">
        <f t="shared" si="21"/>
        <v>-99.305639117486521</v>
      </c>
      <c r="Q20" s="63" t="str">
        <f t="shared" si="8"/>
        <v>2.51660478208233E-14-3.76158192263132E-37i</v>
      </c>
      <c r="R20" s="63">
        <f t="shared" si="22"/>
        <v>-135.99184982480119</v>
      </c>
      <c r="S20" s="63" t="str">
        <f t="shared" si="9"/>
        <v>7.16533306009554E-14</v>
      </c>
      <c r="T20" s="63">
        <f t="shared" si="23"/>
        <v>-131.44763617855634</v>
      </c>
      <c r="U20" s="63" t="str">
        <f t="shared" si="10"/>
        <v>1.00015315656263E-17</v>
      </c>
      <c r="V20" s="63">
        <f t="shared" si="24"/>
        <v>-169.99933490043071</v>
      </c>
      <c r="W20" s="63">
        <f t="shared" si="11"/>
        <v>109.08983404943042</v>
      </c>
      <c r="X20" s="63" t="str">
        <f t="shared" si="12"/>
        <v>720.702996017236-113573.924794048i</v>
      </c>
      <c r="Y20" s="90" t="str">
        <f t="shared" si="13"/>
        <v>7.60650923431301E-10-1.04110457022591E-07i</v>
      </c>
      <c r="Z20" s="90" t="str">
        <f t="shared" si="14"/>
        <v>7.20702996017236E-11-1.13573924794048E-08i</v>
      </c>
      <c r="AA20" s="90" t="str">
        <f t="shared" si="15"/>
        <v>3.80325461715651E-10-5.20552285112955E-08i</v>
      </c>
      <c r="AB20" s="90" t="str">
        <f t="shared" si="25"/>
        <v>1.14350764617268E-14+1.23259516440783E-32i</v>
      </c>
      <c r="AC20" s="90">
        <f t="shared" si="26"/>
        <v>-139.41760927096146</v>
      </c>
      <c r="AD20" s="90" t="str">
        <f t="shared" si="16"/>
        <v>2.13263252031567E-18</v>
      </c>
      <c r="AE20" s="63">
        <f t="shared" si="27"/>
        <v>-176.71083972562008</v>
      </c>
      <c r="AF20" s="63" t="str">
        <f t="shared" si="28"/>
        <v>4.12159167697732E-25</v>
      </c>
      <c r="AG20" s="63">
        <f t="shared" si="29"/>
        <v>-243.84935035657094</v>
      </c>
      <c r="AH20" s="116">
        <f t="shared" si="30"/>
        <v>-144.39999999999986</v>
      </c>
      <c r="AI20" s="63" t="str">
        <f t="shared" si="17"/>
        <v>1.30712905758219E-11</v>
      </c>
      <c r="AJ20" s="63">
        <f t="shared" si="31"/>
        <v>-108.83681530836638</v>
      </c>
      <c r="AK20" s="63">
        <f t="shared" si="32"/>
        <v>-98.843333946673297</v>
      </c>
      <c r="AL20" s="49">
        <f t="shared" si="18"/>
        <v>6.3400418480658757E-9</v>
      </c>
    </row>
    <row r="21" spans="1:38" x14ac:dyDescent="0.25">
      <c r="A21" s="92" t="str">
        <f>'4thOrderLoop'!A74</f>
        <v>wz</v>
      </c>
      <c r="B21" s="92" t="s">
        <v>25</v>
      </c>
      <c r="C21" s="91">
        <f>'4thOrderLoop'!C74</f>
        <v>376991.11843077518</v>
      </c>
      <c r="D21" s="49"/>
      <c r="E21" s="64">
        <v>0.44668359215096465</v>
      </c>
      <c r="F21" s="61" t="str">
        <f t="shared" si="19"/>
        <v>2806.59578316114i</v>
      </c>
      <c r="G21" s="83" t="str">
        <f t="shared" si="0"/>
        <v>663.681940956987-103938.54808339i</v>
      </c>
      <c r="H21" s="62" t="str">
        <f t="shared" si="1"/>
        <v>-43205.9508384358-275.884258940575i</v>
      </c>
      <c r="I21" s="62" t="str">
        <f t="shared" si="2"/>
        <v>60.0013886731145-8.86734148912284E-06i</v>
      </c>
      <c r="J21" s="89" t="str">
        <f t="shared" si="3"/>
        <v>150799.937488514-0.0222860599118283i</v>
      </c>
      <c r="K21" s="89" t="str">
        <f t="shared" si="4"/>
        <v>0.0092640355890699+1.45079753273455i</v>
      </c>
      <c r="L21" s="89" t="str">
        <f t="shared" si="5"/>
        <v>-0.0000231445519073437+1.47789024812147E-07i</v>
      </c>
      <c r="M21" s="63">
        <f t="shared" si="20"/>
        <v>-135.52059991327963</v>
      </c>
      <c r="N21" s="63">
        <f t="shared" si="6"/>
        <v>-149.51029995663981</v>
      </c>
      <c r="O21" s="63" t="str">
        <f t="shared" si="7"/>
        <v>1.05016219874549E-10</v>
      </c>
      <c r="P21" s="63">
        <f t="shared" si="21"/>
        <v>-99.787436184729827</v>
      </c>
      <c r="Q21" s="63" t="str">
        <f t="shared" si="8"/>
        <v>2.51662874021712E-14</v>
      </c>
      <c r="R21" s="63">
        <f t="shared" si="22"/>
        <v>-135.99180848006449</v>
      </c>
      <c r="S21" s="63" t="str">
        <f t="shared" si="9"/>
        <v>7.1654012742293E-14+1.50463276905253E-36i</v>
      </c>
      <c r="T21" s="63">
        <f t="shared" si="23"/>
        <v>-131.44759483381964</v>
      </c>
      <c r="U21" s="63" t="str">
        <f t="shared" si="10"/>
        <v>1.25911594606814E-17+1.20370621524202E-35i</v>
      </c>
      <c r="V21" s="63">
        <f t="shared" si="24"/>
        <v>-168.9993427591354</v>
      </c>
      <c r="W21" s="63">
        <f t="shared" si="11"/>
        <v>109.08983404943042</v>
      </c>
      <c r="X21" s="63" t="str">
        <f t="shared" si="12"/>
        <v>720.702962620327-101222.937379053i</v>
      </c>
      <c r="Y21" s="90" t="str">
        <f t="shared" si="13"/>
        <v>7.60650892817166E-10-9.27886069871435E-08i</v>
      </c>
      <c r="Z21" s="90" t="str">
        <f t="shared" si="14"/>
        <v>7.20702962620327E-11-1.01222937379053E-08i</v>
      </c>
      <c r="AA21" s="90" t="str">
        <f t="shared" si="15"/>
        <v>3.80325446408583E-10-4.63943034935717E-08i</v>
      </c>
      <c r="AB21" s="90" t="str">
        <f t="shared" si="25"/>
        <v>1.14352298709917E-14</v>
      </c>
      <c r="AC21" s="90">
        <f t="shared" si="26"/>
        <v>-139.41755100781779</v>
      </c>
      <c r="AD21" s="90" t="str">
        <f t="shared" si="16"/>
        <v>2.68482053997965E-18+3.00926553810506E-36i</v>
      </c>
      <c r="AE21" s="63">
        <f t="shared" si="27"/>
        <v>-175.71084738307553</v>
      </c>
      <c r="AF21" s="63" t="str">
        <f t="shared" si="28"/>
        <v>6.53233892863634E-25</v>
      </c>
      <c r="AG21" s="63">
        <f t="shared" si="29"/>
        <v>-241.84931290099198</v>
      </c>
      <c r="AH21" s="116">
        <f t="shared" si="30"/>
        <v>-145.09999999999985</v>
      </c>
      <c r="AI21" s="63" t="str">
        <f t="shared" si="17"/>
        <v>1.11255785322309E-11-1.92592994438724E-34i</v>
      </c>
      <c r="AJ21" s="63">
        <f t="shared" si="31"/>
        <v>-109.53677396362963</v>
      </c>
      <c r="AK21" s="63">
        <f t="shared" si="32"/>
        <v>-99.346067798683919</v>
      </c>
      <c r="AL21" s="49">
        <f t="shared" si="18"/>
        <v>6.336052093969303E-9</v>
      </c>
    </row>
    <row r="22" spans="1:38" x14ac:dyDescent="0.25">
      <c r="A22" s="92" t="str">
        <f>'4thOrderLoop'!A75</f>
        <v>wp1</v>
      </c>
      <c r="B22" s="92" t="s">
        <v>25</v>
      </c>
      <c r="C22" s="91">
        <f>'4thOrderLoop'!C75</f>
        <v>5298734.1221161885</v>
      </c>
      <c r="D22" s="49"/>
      <c r="E22" s="64">
        <v>0.50118723362727402</v>
      </c>
      <c r="F22" s="61" t="str">
        <f t="shared" si="19"/>
        <v>3149.05226247287i</v>
      </c>
      <c r="G22" s="83" t="str">
        <f t="shared" si="0"/>
        <v>663.681788324315-92635.4974621181i</v>
      </c>
      <c r="H22" s="62" t="str">
        <f t="shared" si="1"/>
        <v>-34319.7692610758-245.882048049487i</v>
      </c>
      <c r="I22" s="62" t="str">
        <f t="shared" si="2"/>
        <v>60.0017482247038-0.0000125254220908769i</v>
      </c>
      <c r="J22" s="89" t="str">
        <f t="shared" si="3"/>
        <v>150800.841140219-0.0314798192226514i</v>
      </c>
      <c r="K22" s="89" t="str">
        <f t="shared" si="4"/>
        <v>0.0116627012483901+1.62781120573636i</v>
      </c>
      <c r="L22" s="89" t="str">
        <f t="shared" si="5"/>
        <v>-0.0000291370783953744+2.08757034832214E-07i</v>
      </c>
      <c r="M22" s="63">
        <f t="shared" si="20"/>
        <v>-136.02059991327963</v>
      </c>
      <c r="N22" s="63">
        <f t="shared" si="6"/>
        <v>-149.51029995663981</v>
      </c>
      <c r="O22" s="63" t="str">
        <f t="shared" si="7"/>
        <v>9.40351776306224E-11</v>
      </c>
      <c r="P22" s="63">
        <f t="shared" si="21"/>
        <v>-100.26709650730751</v>
      </c>
      <c r="Q22" s="63" t="str">
        <f t="shared" si="8"/>
        <v>2.51665890153824E-14+7.52316384526264E-37i</v>
      </c>
      <c r="R22" s="63">
        <f t="shared" si="22"/>
        <v>-135.99175643100128</v>
      </c>
      <c r="S22" s="63" t="str">
        <f t="shared" si="9"/>
        <v>7.16548715021305E-14</v>
      </c>
      <c r="T22" s="63">
        <f t="shared" si="23"/>
        <v>-131.44754278475642</v>
      </c>
      <c r="U22" s="63" t="str">
        <f t="shared" si="10"/>
        <v>1.58512944983678E-17</v>
      </c>
      <c r="V22" s="63">
        <f t="shared" si="24"/>
        <v>-167.99935265273263</v>
      </c>
      <c r="W22" s="63">
        <f t="shared" si="11"/>
        <v>109.08983404943042</v>
      </c>
      <c r="X22" s="63" t="str">
        <f t="shared" si="12"/>
        <v>720.702920576116-90215.1168436268i</v>
      </c>
      <c r="Y22" s="90" t="str">
        <f t="shared" si="13"/>
        <v>7.6065085427626E-10-8.26980053913629E-08i</v>
      </c>
      <c r="Z22" s="90" t="str">
        <f t="shared" si="14"/>
        <v>7.20702920576116E-11-9.02151168436268E-09i</v>
      </c>
      <c r="AA22" s="90" t="str">
        <f t="shared" si="15"/>
        <v>3.8032542713813E-10-4.13490026956815E-08i</v>
      </c>
      <c r="AB22" s="90" t="str">
        <f t="shared" si="25"/>
        <v>1.14354230007757E-14+1.23259516440783E-32i</v>
      </c>
      <c r="AC22" s="90">
        <f t="shared" si="26"/>
        <v>-139.41747766037119</v>
      </c>
      <c r="AD22" s="90" t="str">
        <f t="shared" si="16"/>
        <v>3.37998130117509E-18+3.00926553810506E-36i</v>
      </c>
      <c r="AE22" s="63">
        <f t="shared" si="27"/>
        <v>-174.71085702331499</v>
      </c>
      <c r="AF22" s="63" t="str">
        <f t="shared" si="28"/>
        <v>1.03531777277817E-24+4.37905770101505E-47i</v>
      </c>
      <c r="AG22" s="63">
        <f t="shared" si="29"/>
        <v>-239.84926330610472</v>
      </c>
      <c r="AH22" s="116">
        <f t="shared" si="30"/>
        <v>-145.79999999999984</v>
      </c>
      <c r="AI22" s="63" t="str">
        <f t="shared" si="17"/>
        <v>9.46951657480068E-12-3.85185988877447E-34i</v>
      </c>
      <c r="AJ22" s="63">
        <f t="shared" si="31"/>
        <v>-110.23672191456642</v>
      </c>
      <c r="AK22" s="63">
        <f t="shared" si="32"/>
        <v>-99.845858760008483</v>
      </c>
      <c r="AL22" s="49">
        <f t="shared" si="18"/>
        <v>6.336357074084999E-9</v>
      </c>
    </row>
    <row r="23" spans="1:38" x14ac:dyDescent="0.25">
      <c r="A23" s="92" t="str">
        <f>'4thOrderLoop'!A76</f>
        <v>wp2</v>
      </c>
      <c r="B23" s="92" t="s">
        <v>25</v>
      </c>
      <c r="C23" s="91">
        <f>'4thOrderLoop'!C76</f>
        <v>5298734.1221161885</v>
      </c>
      <c r="D23" s="49"/>
      <c r="E23" s="64">
        <v>0.56234132519035118</v>
      </c>
      <c r="F23" s="61" t="str">
        <f t="shared" si="19"/>
        <v>3533.29475205591i</v>
      </c>
      <c r="G23" s="83" t="str">
        <f t="shared" si="0"/>
        <v>663.681596171216-82561.663610085i</v>
      </c>
      <c r="H23" s="62" t="str">
        <f t="shared" si="1"/>
        <v>-27261.2243352712-219.142542546882i</v>
      </c>
      <c r="I23" s="62" t="str">
        <f t="shared" si="2"/>
        <v>60.0022008668038-0.0000176925743996497i</v>
      </c>
      <c r="J23" s="89" t="str">
        <f t="shared" si="3"/>
        <v>150801.978753896-0.0444662894122974i</v>
      </c>
      <c r="K23" s="89" t="str">
        <f t="shared" si="4"/>
        <v>0.0146824256903692+1.82641952335561i</v>
      </c>
      <c r="L23" s="89" t="str">
        <f t="shared" si="5"/>
        <v>-0.0000366811133970473+2.94876239990395E-07i</v>
      </c>
      <c r="M23" s="63">
        <f t="shared" si="20"/>
        <v>-136.52059991327963</v>
      </c>
      <c r="N23" s="63">
        <f t="shared" si="6"/>
        <v>-149.51029995663981</v>
      </c>
      <c r="O23" s="63" t="str">
        <f t="shared" si="7"/>
        <v>8.42484627962485E-11</v>
      </c>
      <c r="P23" s="63">
        <f t="shared" si="21"/>
        <v>-100.74438014553921</v>
      </c>
      <c r="Q23" s="63" t="str">
        <f t="shared" si="8"/>
        <v>2.5166968721009E-14</v>
      </c>
      <c r="R23" s="63">
        <f t="shared" si="22"/>
        <v>-135.99169090650201</v>
      </c>
      <c r="S23" s="63" t="str">
        <f t="shared" si="9"/>
        <v>7.16559526084284E-14-3.00926553810506E-36i</v>
      </c>
      <c r="T23" s="63">
        <f t="shared" si="23"/>
        <v>-131.44747726025716</v>
      </c>
      <c r="U23" s="63" t="str">
        <f t="shared" si="10"/>
        <v>1.99555402219333E-17</v>
      </c>
      <c r="V23" s="63">
        <f t="shared" si="24"/>
        <v>-166.99936510815115</v>
      </c>
      <c r="W23" s="63">
        <f t="shared" si="11"/>
        <v>109.08983404943042</v>
      </c>
      <c r="X23" s="63" t="str">
        <f t="shared" si="12"/>
        <v>720.702867645595-80404.3960972206i</v>
      </c>
      <c r="Y23" s="90" t="str">
        <f t="shared" si="13"/>
        <v>7.60650805756137E-10-7.37047560827602E-08i</v>
      </c>
      <c r="Z23" s="90" t="str">
        <f t="shared" si="14"/>
        <v>7.20702867645595E-11-8.04043960972206E-09i</v>
      </c>
      <c r="AA23" s="90" t="str">
        <f t="shared" si="15"/>
        <v>3.80325402878068E-10-3.68523780413801E-08i</v>
      </c>
      <c r="AB23" s="90" t="str">
        <f t="shared" si="25"/>
        <v>1.1435666135124E-14</v>
      </c>
      <c r="AC23" s="90">
        <f t="shared" si="26"/>
        <v>-139.41738532379273</v>
      </c>
      <c r="AD23" s="90" t="str">
        <f t="shared" si="16"/>
        <v>4.25513246035546E-18</v>
      </c>
      <c r="AE23" s="63">
        <f t="shared" si="27"/>
        <v>-173.71086915977503</v>
      </c>
      <c r="AF23" s="63" t="str">
        <f t="shared" si="28"/>
        <v>1.64089226181685E-24</v>
      </c>
      <c r="AG23" s="63">
        <f t="shared" si="29"/>
        <v>-237.84919933044699</v>
      </c>
      <c r="AH23" s="116">
        <f t="shared" si="30"/>
        <v>-146.49999999999983</v>
      </c>
      <c r="AI23" s="63" t="str">
        <f t="shared" si="17"/>
        <v>8.05998736493536E-12</v>
      </c>
      <c r="AJ23" s="63">
        <f t="shared" si="31"/>
        <v>-110.93665639006716</v>
      </c>
      <c r="AK23" s="63">
        <f t="shared" si="32"/>
        <v>-100.34249388368895</v>
      </c>
      <c r="AL23" s="49">
        <f t="shared" si="18"/>
        <v>6.3412683314413012E-9</v>
      </c>
    </row>
    <row r="24" spans="1:38" x14ac:dyDescent="0.25">
      <c r="A24" s="92" t="str">
        <f>'4thOrderLoop'!A77</f>
        <v>Ct</v>
      </c>
      <c r="B24" s="92" t="s">
        <v>16</v>
      </c>
      <c r="C24" s="91">
        <f>'4thOrderLoop'!C77</f>
        <v>3.428045244923208E-9</v>
      </c>
      <c r="D24" s="49"/>
      <c r="E24" s="64">
        <v>0.63095734448019558</v>
      </c>
      <c r="F24" s="61" t="str">
        <f t="shared" si="19"/>
        <v>3964.42191629501i</v>
      </c>
      <c r="G24" s="83" t="str">
        <f t="shared" si="0"/>
        <v>663.681354264884-73583.3728725496i</v>
      </c>
      <c r="H24" s="62" t="str">
        <f t="shared" si="1"/>
        <v>-21654.4228046083-195.310925440715i</v>
      </c>
      <c r="I24" s="62" t="str">
        <f t="shared" si="2"/>
        <v>60.0027706990929-0.0000249913285687182i</v>
      </c>
      <c r="J24" s="89" t="str">
        <f t="shared" si="3"/>
        <v>150803.410898643-0.062810059389546i</v>
      </c>
      <c r="K24" s="89" t="str">
        <f t="shared" si="4"/>
        <v>0.0184840070416717+2.04925566090855i</v>
      </c>
      <c r="L24" s="89" t="str">
        <f t="shared" si="5"/>
        <v>-0.0000461783182131381+4.16522142798799E-07i</v>
      </c>
      <c r="M24" s="63">
        <f t="shared" si="20"/>
        <v>-137.02059991327963</v>
      </c>
      <c r="N24" s="63">
        <f t="shared" si="6"/>
        <v>-149.51029995663981</v>
      </c>
      <c r="O24" s="63" t="str">
        <f t="shared" si="7"/>
        <v>7.55262140385772E-11-6.16297582203915E-33i</v>
      </c>
      <c r="P24" s="63">
        <f t="shared" si="21"/>
        <v>-101.2190228497534</v>
      </c>
      <c r="Q24" s="63" t="str">
        <f t="shared" si="8"/>
        <v>2.51674467374602E-14</v>
      </c>
      <c r="R24" s="63">
        <f t="shared" si="22"/>
        <v>-135.99160841824616</v>
      </c>
      <c r="S24" s="63" t="str">
        <f t="shared" si="9"/>
        <v>7.1657313627491E-14</v>
      </c>
      <c r="T24" s="63">
        <f t="shared" si="23"/>
        <v>-131.44739477200127</v>
      </c>
      <c r="U24" s="63" t="str">
        <f t="shared" si="10"/>
        <v>2.51224459842483E-17+4.81482486096809E-35i</v>
      </c>
      <c r="V24" s="63">
        <f t="shared" si="24"/>
        <v>-165.99938078878026</v>
      </c>
      <c r="W24" s="63">
        <f t="shared" si="11"/>
        <v>109.08983404943042</v>
      </c>
      <c r="X24" s="63" t="str">
        <f t="shared" si="12"/>
        <v>720.70280101003-71660.5928361683i</v>
      </c>
      <c r="Y24" s="90" t="str">
        <f t="shared" si="13"/>
        <v>7.60650744672934E-10-6.5689524106983E-08i</v>
      </c>
      <c r="Z24" s="90" t="str">
        <f t="shared" si="14"/>
        <v>7.2070280101003E-11-7.16605928361683E-09i</v>
      </c>
      <c r="AA24" s="90" t="str">
        <f t="shared" si="15"/>
        <v>3.80325372336467E-10-3.28447620534915E-08i</v>
      </c>
      <c r="AB24" s="90" t="str">
        <f t="shared" si="25"/>
        <v>1.14359722205276E-14</v>
      </c>
      <c r="AC24" s="90">
        <f t="shared" si="26"/>
        <v>-139.41726908270871</v>
      </c>
      <c r="AD24" s="90" t="str">
        <f t="shared" si="16"/>
        <v>5.35687553862506E-18-6.01853107621011E-36i</v>
      </c>
      <c r="AE24" s="63">
        <f t="shared" si="27"/>
        <v>-172.71088443885918</v>
      </c>
      <c r="AF24" s="63" t="str">
        <f t="shared" si="28"/>
        <v>2.6006877858568E-24</v>
      </c>
      <c r="AG24" s="63">
        <f t="shared" si="29"/>
        <v>-235.84911781990303</v>
      </c>
      <c r="AH24" s="116">
        <f t="shared" si="30"/>
        <v>-147.19999999999982</v>
      </c>
      <c r="AI24" s="63" t="str">
        <f t="shared" si="17"/>
        <v>6.86029213429089E-12</v>
      </c>
      <c r="AJ24" s="63">
        <f t="shared" si="31"/>
        <v>-111.63657390181127</v>
      </c>
      <c r="AK24" s="63">
        <f t="shared" si="32"/>
        <v>-100.83573439793454</v>
      </c>
      <c r="AL24" s="49">
        <f t="shared" si="18"/>
        <v>6.351145750846067E-9</v>
      </c>
    </row>
    <row r="25" spans="1:38" ht="17.25" x14ac:dyDescent="0.25">
      <c r="A25" s="103" t="s">
        <v>174</v>
      </c>
      <c r="B25" s="103" t="s">
        <v>168</v>
      </c>
      <c r="C25" s="103" t="str">
        <f>'4thOrderLoop'!C68</f>
        <v>-226.5</v>
      </c>
      <c r="D25" s="49"/>
      <c r="E25" s="64">
        <v>0.70794578438414069</v>
      </c>
      <c r="F25" s="61" t="str">
        <f t="shared" si="19"/>
        <v>4448.15455072216i</v>
      </c>
      <c r="G25" s="83" t="str">
        <f t="shared" si="0"/>
        <v>663.681049722983-65581.4887862764i</v>
      </c>
      <c r="H25" s="62" t="str">
        <f t="shared" si="1"/>
        <v>-17200.7820422743-174.070965651237i</v>
      </c>
      <c r="I25" s="62" t="str">
        <f t="shared" si="2"/>
        <v>60.0034880590331-0.000035301017342439i</v>
      </c>
      <c r="J25" s="89" t="str">
        <f t="shared" si="3"/>
        <v>150805.213820817-0.0887211334049418i</v>
      </c>
      <c r="K25" s="89" t="str">
        <f t="shared" si="4"/>
        <v>0.0232698724328835+2.2992733595735i</v>
      </c>
      <c r="L25" s="89" t="str">
        <f t="shared" si="5"/>
        <v>-0.000058134317216315+5.88350289000593E-07i</v>
      </c>
      <c r="M25" s="63">
        <f t="shared" si="20"/>
        <v>-137.52059991327963</v>
      </c>
      <c r="N25" s="63">
        <f t="shared" si="6"/>
        <v>-149.51029995663981</v>
      </c>
      <c r="O25" s="63" t="str">
        <f t="shared" si="7"/>
        <v>6.77526954705229E-11</v>
      </c>
      <c r="P25" s="63">
        <f t="shared" si="21"/>
        <v>-101.6907342215558</v>
      </c>
      <c r="Q25" s="63" t="str">
        <f t="shared" si="8"/>
        <v>2.51680485172089E-14</v>
      </c>
      <c r="R25" s="63">
        <f t="shared" si="22"/>
        <v>-135.99150457517365</v>
      </c>
      <c r="S25" s="63" t="str">
        <f t="shared" si="9"/>
        <v>7.16590270281642E-14</v>
      </c>
      <c r="T25" s="63">
        <f t="shared" si="23"/>
        <v>-131.44729092892877</v>
      </c>
      <c r="U25" s="63" t="str">
        <f t="shared" si="10"/>
        <v>3.16271418931704E-17</v>
      </c>
      <c r="V25" s="63">
        <f t="shared" si="24"/>
        <v>-164.99940052981802</v>
      </c>
      <c r="W25" s="63">
        <f t="shared" si="11"/>
        <v>109.08983404943042</v>
      </c>
      <c r="X25" s="63" t="str">
        <f t="shared" si="12"/>
        <v>720.702717120844-63867.6821036112i</v>
      </c>
      <c r="Y25" s="90" t="str">
        <f t="shared" si="13"/>
        <v>7.60650667773756E-10-5.85459522054747E-08i</v>
      </c>
      <c r="Z25" s="90" t="str">
        <f t="shared" si="14"/>
        <v>7.20702717120844E-11-6.38676821036112E-09i</v>
      </c>
      <c r="AA25" s="90" t="str">
        <f t="shared" si="15"/>
        <v>3.80325333886878E-10-2.92729761027374E-08i</v>
      </c>
      <c r="AB25" s="90" t="str">
        <f t="shared" si="25"/>
        <v>1.14363575550892E-14-2.46519032881566E-32i</v>
      </c>
      <c r="AC25" s="90">
        <f t="shared" si="26"/>
        <v>-139.41712274984673</v>
      </c>
      <c r="AD25" s="90" t="str">
        <f t="shared" si="16"/>
        <v>6.74387687373399E-18+1.20370621524202E-35i</v>
      </c>
      <c r="AE25" s="63">
        <f t="shared" si="27"/>
        <v>-171.71090367438183</v>
      </c>
      <c r="AF25" s="63" t="str">
        <f t="shared" si="28"/>
        <v>4.12191033827968E-24</v>
      </c>
      <c r="AG25" s="63">
        <f t="shared" si="29"/>
        <v>-233.84901459430625</v>
      </c>
      <c r="AH25" s="116">
        <f t="shared" si="30"/>
        <v>-147.89999999999981</v>
      </c>
      <c r="AI25" s="63" t="str">
        <f t="shared" si="17"/>
        <v>5.83919520654947E-12</v>
      </c>
      <c r="AJ25" s="63">
        <f t="shared" si="31"/>
        <v>-112.33647005873874</v>
      </c>
      <c r="AK25" s="63">
        <f t="shared" si="32"/>
        <v>-101.32531377901981</v>
      </c>
      <c r="AL25" s="49">
        <f t="shared" si="18"/>
        <v>6.3664032170659032E-9</v>
      </c>
    </row>
    <row r="26" spans="1:38" ht="17.25" x14ac:dyDescent="0.25">
      <c r="A26" s="103" t="s">
        <v>175</v>
      </c>
      <c r="B26" s="103" t="s">
        <v>173</v>
      </c>
      <c r="C26" s="103">
        <f>IF(C15="5|6",'4thOrderLoop'!D68,'4thOrderLoop'!D69)</f>
        <v>-263</v>
      </c>
      <c r="D26" s="49"/>
      <c r="E26" s="64">
        <v>0.79432823472428471</v>
      </c>
      <c r="F26" s="61" t="str">
        <f t="shared" si="19"/>
        <v>4990.91149349752i</v>
      </c>
      <c r="G26" s="83" t="str">
        <f t="shared" si="0"/>
        <v>663.680666327665-58449.8312110477i</v>
      </c>
      <c r="H26" s="62" t="str">
        <f t="shared" si="1"/>
        <v>-13663.1294373917-155.140821816698i</v>
      </c>
      <c r="I26" s="62" t="str">
        <f t="shared" si="2"/>
        <v>60.0043911356847-0.0000498637055034808i</v>
      </c>
      <c r="J26" s="89" t="str">
        <f t="shared" si="3"/>
        <v>150807.483499996-0.125321160715935i</v>
      </c>
      <c r="K26" s="89" t="str">
        <f t="shared" si="4"/>
        <v>0.0292948534612532+2.5797857401448i</v>
      </c>
      <c r="L26" s="89" t="str">
        <f t="shared" si="5"/>
        <v>-0.0000731855947477178+8.31061758442278E-07i</v>
      </c>
      <c r="M26" s="63">
        <f t="shared" si="20"/>
        <v>-138.02059991327963</v>
      </c>
      <c r="N26" s="63">
        <f t="shared" si="6"/>
        <v>-149.51029995663981</v>
      </c>
      <c r="O26" s="63" t="str">
        <f t="shared" si="7"/>
        <v>6.08247610680494E-11</v>
      </c>
      <c r="P26" s="63">
        <f t="shared" si="21"/>
        <v>-102.15919588390264</v>
      </c>
      <c r="Q26" s="63" t="str">
        <f t="shared" si="8"/>
        <v>2.51688061014431E-14</v>
      </c>
      <c r="R26" s="63">
        <f t="shared" si="22"/>
        <v>-135.99137385002007</v>
      </c>
      <c r="S26" s="63" t="str">
        <f t="shared" si="9"/>
        <v>7.16611840388311E-14</v>
      </c>
      <c r="T26" s="63">
        <f t="shared" si="23"/>
        <v>-131.44716020377521</v>
      </c>
      <c r="U26" s="63" t="str">
        <f t="shared" si="10"/>
        <v>3.98159847798874E-17</v>
      </c>
      <c r="V26" s="63">
        <f t="shared" si="24"/>
        <v>-163.99942538278</v>
      </c>
      <c r="W26" s="63">
        <f t="shared" si="11"/>
        <v>109.08983404943042</v>
      </c>
      <c r="X26" s="63" t="str">
        <f t="shared" si="12"/>
        <v>720.702611510638-56922.2567088132i</v>
      </c>
      <c r="Y26" s="90" t="str">
        <f t="shared" si="13"/>
        <v>7.60650570963446E-10-5.21792495192731E-08i</v>
      </c>
      <c r="Z26" s="90" t="str">
        <f t="shared" si="14"/>
        <v>7.20702611510638E-11-5.69222567088132E-09i</v>
      </c>
      <c r="AA26" s="90" t="str">
        <f t="shared" si="15"/>
        <v>3.80325285481723E-10-2.60896247596366E-08i</v>
      </c>
      <c r="AB26" s="90" t="str">
        <f t="shared" si="25"/>
        <v>1.14368426560138E-14-2.46519032881566E-32i</v>
      </c>
      <c r="AC26" s="90">
        <f t="shared" si="26"/>
        <v>-139.41693853718493</v>
      </c>
      <c r="AD26" s="90" t="str">
        <f t="shared" si="16"/>
        <v>8.48999062945631E-18-1.20370621524202E-35i</v>
      </c>
      <c r="AE26" s="63">
        <f t="shared" si="27"/>
        <v>-170.71092789093819</v>
      </c>
      <c r="AF26" s="63" t="str">
        <f t="shared" si="28"/>
        <v>6.53298369155217E-24</v>
      </c>
      <c r="AG26" s="63">
        <f t="shared" si="29"/>
        <v>-231.84888425948827</v>
      </c>
      <c r="AH26" s="116">
        <f t="shared" si="30"/>
        <v>-148.5999999999998</v>
      </c>
      <c r="AI26" s="63" t="str">
        <f t="shared" si="17"/>
        <v>4.97011075374305E-12</v>
      </c>
      <c r="AJ26" s="63">
        <f t="shared" si="31"/>
        <v>-113.03633933358513</v>
      </c>
      <c r="AK26" s="63">
        <f t="shared" si="32"/>
        <v>-101.81093583191671</v>
      </c>
      <c r="AL26" s="49">
        <f t="shared" si="18"/>
        <v>6.3875150435178686E-9</v>
      </c>
    </row>
    <row r="27" spans="1:38" x14ac:dyDescent="0.25">
      <c r="A27" s="103" t="s">
        <v>119</v>
      </c>
      <c r="B27" s="103" t="s">
        <v>163</v>
      </c>
      <c r="C27" s="103" t="str">
        <f>'4thOrderLoop'!C70</f>
        <v>3</v>
      </c>
      <c r="D27" s="49"/>
      <c r="E27" s="64">
        <v>0.89125093813374923</v>
      </c>
      <c r="F27" s="61" t="str">
        <f t="shared" si="19"/>
        <v>5599.894799492i</v>
      </c>
      <c r="G27" s="83" t="str">
        <f t="shared" si="0"/>
        <v>663.680183661887-52093.7673837063i</v>
      </c>
      <c r="H27" s="62" t="str">
        <f t="shared" si="1"/>
        <v>-10853.0720886347-138.269302429713i</v>
      </c>
      <c r="I27" s="62" t="str">
        <f t="shared" si="2"/>
        <v>60.0055280006138-0.0000704338104714033i</v>
      </c>
      <c r="J27" s="89" t="str">
        <f t="shared" si="3"/>
        <v>150810.340753204-0.17701947324122i</v>
      </c>
      <c r="K27" s="89" t="str">
        <f t="shared" si="4"/>
        <v>0.0368797497382681+2.89450872852952i</v>
      </c>
      <c r="L27" s="89" t="str">
        <f t="shared" si="5"/>
        <v>-0.0000921333435620808+1.17389684115605E-06i</v>
      </c>
      <c r="M27" s="63">
        <f t="shared" si="20"/>
        <v>-138.52059991327965</v>
      </c>
      <c r="N27" s="63">
        <f t="shared" si="6"/>
        <v>-149.51029995663981</v>
      </c>
      <c r="O27" s="63" t="str">
        <f t="shared" si="7"/>
        <v>5.46504861891293E-11+1.23259516440783E-32i</v>
      </c>
      <c r="P27" s="63">
        <f t="shared" si="21"/>
        <v>-102.62405970067128</v>
      </c>
      <c r="Q27" s="63" t="str">
        <f t="shared" si="8"/>
        <v>2.51697598251292E-14+6.01853107621011E-36i</v>
      </c>
      <c r="R27" s="63">
        <f t="shared" si="22"/>
        <v>-135.99120928556474</v>
      </c>
      <c r="S27" s="63" t="str">
        <f t="shared" si="9"/>
        <v>7.16638995021041E-14+1.20370621524202E-35i</v>
      </c>
      <c r="T27" s="63">
        <f t="shared" si="23"/>
        <v>-131.44699563931988</v>
      </c>
      <c r="U27" s="63" t="str">
        <f t="shared" si="10"/>
        <v>5.01249939079487E-17-9.62964972193618E-35i</v>
      </c>
      <c r="V27" s="63">
        <f t="shared" si="24"/>
        <v>-162.99945667154691</v>
      </c>
      <c r="W27" s="63">
        <f t="shared" si="11"/>
        <v>109.08983404943042</v>
      </c>
      <c r="X27" s="63" t="str">
        <f t="shared" si="12"/>
        <v>720.702478555314-50732.1550765642i</v>
      </c>
      <c r="Y27" s="90" t="str">
        <f t="shared" si="13"/>
        <v>7.60650449086531E-10-4.65049337719009E-08i</v>
      </c>
      <c r="Z27" s="90" t="str">
        <f t="shared" si="14"/>
        <v>7.20702478555314E-11-5.07321550765642E-09i</v>
      </c>
      <c r="AA27" s="90" t="str">
        <f t="shared" si="15"/>
        <v>3.80325224543266E-10-2.32524668859505E-08i</v>
      </c>
      <c r="AB27" s="90" t="str">
        <f t="shared" si="25"/>
        <v>1.1437453351519E-14</v>
      </c>
      <c r="AC27" s="90">
        <f t="shared" si="26"/>
        <v>-139.41670664223349</v>
      </c>
      <c r="AD27" s="90" t="str">
        <f t="shared" si="16"/>
        <v>1.06881899176968E-17</v>
      </c>
      <c r="AE27" s="63">
        <f t="shared" si="27"/>
        <v>-169.71095837851789</v>
      </c>
      <c r="AF27" s="63" t="str">
        <f t="shared" si="28"/>
        <v>1.03544731378714E-23+1.40129846432482E-45i</v>
      </c>
      <c r="AG27" s="63">
        <f t="shared" si="29"/>
        <v>-229.84871994224548</v>
      </c>
      <c r="AH27" s="116">
        <f t="shared" si="30"/>
        <v>-149.29999999999978</v>
      </c>
      <c r="AI27" s="63" t="str">
        <f t="shared" si="17"/>
        <v>4.23041061382035E-12</v>
      </c>
      <c r="AJ27" s="63">
        <f t="shared" si="31"/>
        <v>-113.73617476912983</v>
      </c>
      <c r="AK27" s="63">
        <f t="shared" si="32"/>
        <v>-102.29227282098461</v>
      </c>
      <c r="AL27" s="49">
        <f t="shared" si="18"/>
        <v>6.4150232844731216E-9</v>
      </c>
    </row>
    <row r="28" spans="1:38" x14ac:dyDescent="0.25">
      <c r="A28" s="103" t="s">
        <v>120</v>
      </c>
      <c r="B28" s="103" t="s">
        <v>156</v>
      </c>
      <c r="C28" s="104">
        <v>1.3000000000000001E-9</v>
      </c>
      <c r="D28" s="49"/>
      <c r="E28" s="64">
        <v>1</v>
      </c>
      <c r="F28" s="61" t="str">
        <f t="shared" si="19"/>
        <v>6283.18530717959i</v>
      </c>
      <c r="G28" s="83" t="str">
        <f t="shared" si="0"/>
        <v>663.679576022204-46428.9561988777i</v>
      </c>
      <c r="H28" s="62" t="str">
        <f t="shared" si="1"/>
        <v>-8620.96419525657-123.232532678578i</v>
      </c>
      <c r="I28" s="62" t="str">
        <f t="shared" si="2"/>
        <v>60.0069591634381-0.0000994894313191605i</v>
      </c>
      <c r="J28" s="89" t="str">
        <f t="shared" si="3"/>
        <v>150813.937657695-0.250044213225133i</v>
      </c>
      <c r="K28" s="89" t="str">
        <f t="shared" si="4"/>
        <v>0.0464284012835869+3.24760960444899i</v>
      </c>
      <c r="L28" s="89" t="str">
        <f t="shared" si="5"/>
        <v>-0.000115986057301749+1.65815718869953E-06i</v>
      </c>
      <c r="M28" s="63">
        <f t="shared" si="20"/>
        <v>-139.02059991327963</v>
      </c>
      <c r="N28" s="63">
        <f t="shared" si="6"/>
        <v>-149.51029995663981</v>
      </c>
      <c r="O28" s="63" t="str">
        <f t="shared" si="7"/>
        <v>4.91479480462283E-11</v>
      </c>
      <c r="P28" s="63">
        <f t="shared" si="21"/>
        <v>-103.08494609486026</v>
      </c>
      <c r="Q28" s="63" t="str">
        <f t="shared" si="8"/>
        <v>2.51709604630157E-14</v>
      </c>
      <c r="R28" s="63">
        <f t="shared" si="22"/>
        <v>-135.99100212507676</v>
      </c>
      <c r="S28" s="63" t="str">
        <f t="shared" si="9"/>
        <v>7.16673179849752E-14</v>
      </c>
      <c r="T28" s="63">
        <f t="shared" si="23"/>
        <v>-131.44678847883193</v>
      </c>
      <c r="U28" s="63" t="str">
        <f t="shared" si="10"/>
        <v>6.31030562365015E-17</v>
      </c>
      <c r="V28" s="63">
        <f t="shared" si="24"/>
        <v>-161.99949606294612</v>
      </c>
      <c r="W28" s="63">
        <f t="shared" si="11"/>
        <v>109.08983404943042</v>
      </c>
      <c r="X28" s="63" t="str">
        <f t="shared" si="12"/>
        <v>720.702311174544-45215.2383190698i</v>
      </c>
      <c r="Y28" s="90" t="str">
        <f t="shared" si="13"/>
        <v>7.60650295652647E-10-4.14477102408846E-08i</v>
      </c>
      <c r="Z28" s="90" t="str">
        <f t="shared" si="14"/>
        <v>7.20702311174544E-11-4.52152383190698E-09i</v>
      </c>
      <c r="AA28" s="90" t="str">
        <f t="shared" si="15"/>
        <v>3.80325147826324E-10-2.07238551204423E-08i</v>
      </c>
      <c r="AB28" s="90" t="str">
        <f t="shared" si="25"/>
        <v>1.1438222155163E-14</v>
      </c>
      <c r="AC28" s="90">
        <f t="shared" si="26"/>
        <v>-139.41641472763601</v>
      </c>
      <c r="AD28" s="90" t="str">
        <f t="shared" si="16"/>
        <v>1.3455514973667E-17</v>
      </c>
      <c r="AE28" s="63">
        <f t="shared" si="27"/>
        <v>-168.71099676128242</v>
      </c>
      <c r="AF28" s="63" t="str">
        <f t="shared" si="28"/>
        <v>1.64115162121962E-23+5.60519385729927E-45i</v>
      </c>
      <c r="AG28" s="63">
        <f t="shared" si="29"/>
        <v>-227.84851293890745</v>
      </c>
      <c r="AH28" s="116">
        <v>-150</v>
      </c>
      <c r="AI28" s="63" t="str">
        <f t="shared" si="17"/>
        <v>3.60083514805243E-12+7.70371977754894E-34i</v>
      </c>
      <c r="AJ28" s="63">
        <f t="shared" si="31"/>
        <v>-114.43596760864202</v>
      </c>
      <c r="AK28" s="63">
        <f t="shared" si="32"/>
        <v>-102.76896370205552</v>
      </c>
      <c r="AL28" s="49">
        <f t="shared" si="18"/>
        <v>6.4495460644770197E-9</v>
      </c>
    </row>
    <row r="29" spans="1:38" x14ac:dyDescent="0.25">
      <c r="A29" s="103" t="s">
        <v>121</v>
      </c>
      <c r="B29" s="103" t="s">
        <v>118</v>
      </c>
      <c r="C29" s="115">
        <f>'4thOrderLoop'!C66/'4thOrderLoop'!C65</f>
        <v>7.5000000000000011E-2</v>
      </c>
      <c r="D29" s="49"/>
      <c r="E29" s="68">
        <v>1.122018454301966</v>
      </c>
      <c r="F29" s="61" t="str">
        <f t="shared" si="19"/>
        <v>7049.84986645446i</v>
      </c>
      <c r="G29" s="83" t="str">
        <f t="shared" si="0"/>
        <v>663.678811050005-41380.2290537277i</v>
      </c>
      <c r="H29" s="62" t="str">
        <f t="shared" si="1"/>
        <v>-6847.93787251178-109.83098376454i</v>
      </c>
      <c r="I29" s="62" t="str">
        <f t="shared" si="2"/>
        <v>60.0087607871544-0.000140530831390435i</v>
      </c>
      <c r="J29" s="89" t="str">
        <f t="shared" si="3"/>
        <v>150818.465631961-0.353192501987025i</v>
      </c>
      <c r="K29" s="89" t="str">
        <f t="shared" si="4"/>
        <v>0.0584491764806846+3.64376122607337i</v>
      </c>
      <c r="L29" s="89" t="str">
        <f t="shared" si="5"/>
        <v>-0.000146013119240153+2.34218052321717E-06i</v>
      </c>
      <c r="M29" s="63">
        <f t="shared" si="20"/>
        <v>-139.52059991327963</v>
      </c>
      <c r="N29" s="63">
        <f t="shared" si="6"/>
        <v>-149.51029995663981</v>
      </c>
      <c r="O29" s="63" t="str">
        <f t="shared" si="7"/>
        <v>4.42441389634465E-11</v>
      </c>
      <c r="P29" s="63">
        <f t="shared" si="21"/>
        <v>-103.54144252297728</v>
      </c>
      <c r="Q29" s="63" t="str">
        <f t="shared" si="8"/>
        <v>2.51724719304455E-14</v>
      </c>
      <c r="R29" s="63">
        <f t="shared" si="22"/>
        <v>-135.99074134748042</v>
      </c>
      <c r="S29" s="63" t="str">
        <f t="shared" si="9"/>
        <v>7.16716214686295E-14</v>
      </c>
      <c r="T29" s="63">
        <f t="shared" si="23"/>
        <v>-131.4465277012356</v>
      </c>
      <c r="U29" s="63" t="str">
        <f t="shared" si="10"/>
        <v>7.94411339033787E-17</v>
      </c>
      <c r="V29" s="63">
        <f t="shared" si="24"/>
        <v>-160.99954565564212</v>
      </c>
      <c r="W29" s="63">
        <f t="shared" si="11"/>
        <v>109.08983404943042</v>
      </c>
      <c r="X29" s="63" t="str">
        <f t="shared" si="12"/>
        <v>720.702100454753-40298.3003028124i</v>
      </c>
      <c r="Y29" s="90" t="str">
        <f t="shared" si="13"/>
        <v>7.60650102490935E-10-3.69404726425311E-08i</v>
      </c>
      <c r="Z29" s="90" t="str">
        <f t="shared" si="14"/>
        <v>7.20702100454753E-11-4.02983003028124E-09i</v>
      </c>
      <c r="AA29" s="90" t="str">
        <f t="shared" si="15"/>
        <v>3.80325051245467E-10-1.84702363212656E-08i</v>
      </c>
      <c r="AB29" s="90" t="str">
        <f t="shared" si="25"/>
        <v>1.14391899955418E-14</v>
      </c>
      <c r="AC29" s="90">
        <f t="shared" si="26"/>
        <v>-139.41604726672446</v>
      </c>
      <c r="AD29" s="90" t="str">
        <f t="shared" si="16"/>
        <v>1.69393012485548E-17</v>
      </c>
      <c r="AE29" s="63">
        <f t="shared" si="27"/>
        <v>-167.71104508418287</v>
      </c>
      <c r="AF29" s="63" t="str">
        <f t="shared" si="28"/>
        <v>2.60120616001328E-23</v>
      </c>
      <c r="AG29" s="63">
        <f t="shared" si="29"/>
        <v>-225.84825226193968</v>
      </c>
      <c r="AH29" s="116">
        <f>AH28-(($AH$28-$AH$48)/20)</f>
        <v>-151.25</v>
      </c>
      <c r="AI29" s="63" t="str">
        <f t="shared" si="17"/>
        <v>2.70040757079382E-12</v>
      </c>
      <c r="AJ29" s="63">
        <f t="shared" si="31"/>
        <v>-115.68570683104574</v>
      </c>
      <c r="AK29" s="63">
        <f t="shared" si="32"/>
        <v>-103.2741336283887</v>
      </c>
      <c r="AL29" s="49">
        <f t="shared" si="18"/>
        <v>6.4418729668865224E-9</v>
      </c>
    </row>
    <row r="30" spans="1:38" x14ac:dyDescent="0.25">
      <c r="A30" s="103" t="s">
        <v>124</v>
      </c>
      <c r="B30" s="103" t="s">
        <v>183</v>
      </c>
      <c r="C30" s="117">
        <v>1E-10</v>
      </c>
      <c r="D30" s="49"/>
      <c r="E30" s="68">
        <v>1.2589254117941702</v>
      </c>
      <c r="F30" s="61" t="str">
        <f t="shared" si="19"/>
        <v>7910.06165022014i</v>
      </c>
      <c r="G30" s="83" t="str">
        <f t="shared" si="0"/>
        <v>663.677848008403-36880.5924062591i</v>
      </c>
      <c r="H30" s="62" t="str">
        <f t="shared" si="1"/>
        <v>-5439.57300334123-97.8868252758715i</v>
      </c>
      <c r="I30" s="62" t="str">
        <f t="shared" si="2"/>
        <v>60.0110287329474-0.000198502006753706i</v>
      </c>
      <c r="J30" s="89" t="str">
        <f t="shared" si="3"/>
        <v>150824.165601435-0.498889956906456i</v>
      </c>
      <c r="K30" s="89" t="str">
        <f t="shared" si="4"/>
        <v>0.0735820160195383+4.08820252089558i</v>
      </c>
      <c r="L30" s="89" t="str">
        <f t="shared" si="5"/>
        <v>-0.000183812215789873+3.30836677921581E-06i</v>
      </c>
      <c r="M30" s="63">
        <f t="shared" si="20"/>
        <v>-140.02059991327963</v>
      </c>
      <c r="N30" s="63">
        <f t="shared" si="6"/>
        <v>-149.51029995663981</v>
      </c>
      <c r="O30" s="63" t="str">
        <f t="shared" si="7"/>
        <v>3.98739980148591E-11</v>
      </c>
      <c r="P30" s="63">
        <f t="shared" si="21"/>
        <v>-103.99310217090502</v>
      </c>
      <c r="Q30" s="63" t="str">
        <f t="shared" si="8"/>
        <v>2.51743746821106E-14</v>
      </c>
      <c r="R30" s="63">
        <f t="shared" si="22"/>
        <v>-135.99041308281062</v>
      </c>
      <c r="S30" s="63" t="str">
        <f t="shared" si="9"/>
        <v>7.16770390254537E-14</v>
      </c>
      <c r="T30" s="63">
        <f t="shared" si="23"/>
        <v>-131.44619943656576</v>
      </c>
      <c r="U30" s="63" t="str">
        <f t="shared" si="10"/>
        <v>1.00009024420074E-16</v>
      </c>
      <c r="V30" s="63">
        <f t="shared" si="24"/>
        <v>-159.99960809209941</v>
      </c>
      <c r="W30" s="63">
        <f t="shared" si="11"/>
        <v>109.08983404943042</v>
      </c>
      <c r="X30" s="63" t="str">
        <f t="shared" si="12"/>
        <v>720.701835174425-35916.096247634i</v>
      </c>
      <c r="Y30" s="90" t="str">
        <f t="shared" si="13"/>
        <v>7.60649859314905E-10-3.29234126723117E-08i</v>
      </c>
      <c r="Z30" s="90" t="str">
        <f t="shared" si="14"/>
        <v>7.20701835174425E-11-3.5916096247634E-09i</v>
      </c>
      <c r="AA30" s="90" t="str">
        <f t="shared" si="15"/>
        <v>3.80324929657453E-10-1.64617063361559E-08i</v>
      </c>
      <c r="AB30" s="90" t="str">
        <f t="shared" si="25"/>
        <v>1.14404083930768E-14-2.46519032881566E-32i</v>
      </c>
      <c r="AC30" s="90">
        <f t="shared" si="26"/>
        <v>-139.41558472073243</v>
      </c>
      <c r="AD30" s="90" t="str">
        <f t="shared" si="16"/>
        <v>2.13250180675236E-17+4.81482486096809E-35i</v>
      </c>
      <c r="AE30" s="63">
        <f t="shared" si="27"/>
        <v>-166.71110592206279</v>
      </c>
      <c r="AF30" s="63" t="str">
        <f t="shared" si="28"/>
        <v>4.12294549724159E-23+2.24207754291971E-44i</v>
      </c>
      <c r="AG30" s="63">
        <f t="shared" si="29"/>
        <v>-223.84792406261866</v>
      </c>
      <c r="AH30" s="116">
        <f t="shared" ref="AH30:AH47" si="33">AH29-(($AH$28-$AH$48)/20)</f>
        <v>-152.5</v>
      </c>
      <c r="AI30" s="63" t="str">
        <f t="shared" si="17"/>
        <v>2.02517306858274E-12</v>
      </c>
      <c r="AJ30" s="63">
        <f t="shared" si="31"/>
        <v>-116.93537856637593</v>
      </c>
      <c r="AK30" s="63">
        <f t="shared" si="32"/>
        <v>-103.76672293029172</v>
      </c>
      <c r="AL30" s="49">
        <f t="shared" si="18"/>
        <v>6.4528746100254899E-9</v>
      </c>
    </row>
    <row r="31" spans="1:38" x14ac:dyDescent="0.25">
      <c r="A31" s="103" t="s">
        <v>125</v>
      </c>
      <c r="B31" s="103" t="s">
        <v>126</v>
      </c>
      <c r="C31" s="117">
        <v>1E-13</v>
      </c>
      <c r="D31" s="49"/>
      <c r="E31" s="68">
        <v>1.4125375446227577</v>
      </c>
      <c r="F31" s="61" t="str">
        <f t="shared" si="19"/>
        <v>8875.23514621324i</v>
      </c>
      <c r="G31" s="83" t="str">
        <f t="shared" si="0"/>
        <v>663.676635612971-32870.3388116849i</v>
      </c>
      <c r="H31" s="62" t="str">
        <f t="shared" si="1"/>
        <v>-4320.8690228331-87.2415654863518i</v>
      </c>
      <c r="I31" s="62" t="str">
        <f t="shared" si="2"/>
        <v>60.0138836474815-0.000280386079889738i</v>
      </c>
      <c r="J31" s="89" t="str">
        <f t="shared" si="3"/>
        <v>150831.340784257-0.704687079024839i</v>
      </c>
      <c r="K31" s="89" t="str">
        <f t="shared" si="4"/>
        <v>0.0926324668537879+4.58680586300224i</v>
      </c>
      <c r="L31" s="89" t="str">
        <f t="shared" si="5"/>
        <v>-0.000231394124692373+4.67310133149995E-06i</v>
      </c>
      <c r="M31" s="63">
        <f t="shared" si="20"/>
        <v>-140.52059991327963</v>
      </c>
      <c r="N31" s="63">
        <f t="shared" si="6"/>
        <v>-149.51029995663981</v>
      </c>
      <c r="O31" s="63" t="str">
        <f t="shared" si="7"/>
        <v>3.59795482157598E-11-2.46519032881566E-32i</v>
      </c>
      <c r="P31" s="63">
        <f t="shared" si="21"/>
        <v>-104.43944294259906</v>
      </c>
      <c r="Q31" s="63" t="str">
        <f t="shared" si="8"/>
        <v>2.51767699886891E-14</v>
      </c>
      <c r="R31" s="63">
        <f t="shared" si="22"/>
        <v>-135.98999987733652</v>
      </c>
      <c r="S31" s="63" t="str">
        <f t="shared" si="9"/>
        <v>7.1683858995573E-14-4.81482486096809E-35i</v>
      </c>
      <c r="T31" s="63">
        <f t="shared" si="23"/>
        <v>-131.44578623109166</v>
      </c>
      <c r="U31" s="63" t="str">
        <f t="shared" si="10"/>
        <v>1.25901623404792E-16-3.85185988877447E-34i</v>
      </c>
      <c r="V31" s="63">
        <f t="shared" si="24"/>
        <v>-158.99968669962053</v>
      </c>
      <c r="W31" s="63">
        <f t="shared" si="11"/>
        <v>109.08983404943042</v>
      </c>
      <c r="X31" s="63" t="str">
        <f t="shared" si="12"/>
        <v>720.70150120656-32010.4769681394i</v>
      </c>
      <c r="Y31" s="90" t="str">
        <f t="shared" si="13"/>
        <v>7.60649553174678E-10-2.93432263849947E-08i</v>
      </c>
      <c r="Z31" s="90" t="str">
        <f t="shared" si="14"/>
        <v>7.2070150120656E-11-3.20104769681394E-09i</v>
      </c>
      <c r="AA31" s="90" t="str">
        <f t="shared" si="15"/>
        <v>3.80324776587339E-10-1.46716131924974E-08i</v>
      </c>
      <c r="AB31" s="90" t="str">
        <f t="shared" si="25"/>
        <v>1.14419421992175E-14</v>
      </c>
      <c r="AC31" s="90">
        <f t="shared" si="26"/>
        <v>-139.41500250472143</v>
      </c>
      <c r="AD31" s="90" t="str">
        <f t="shared" si="16"/>
        <v>2.68461336719222E-17</v>
      </c>
      <c r="AE31" s="63">
        <f t="shared" si="27"/>
        <v>-165.71118251709521</v>
      </c>
      <c r="AF31" s="63" t="str">
        <f t="shared" si="28"/>
        <v>6.5350499276223E-23+4.48415508583941E-44i</v>
      </c>
      <c r="AG31" s="63">
        <f t="shared" si="29"/>
        <v>-221.84751090071498</v>
      </c>
      <c r="AH31" s="116">
        <f t="shared" si="33"/>
        <v>-153.75</v>
      </c>
      <c r="AI31" s="63" t="str">
        <f t="shared" si="17"/>
        <v>1.51881005593217E-12</v>
      </c>
      <c r="AJ31" s="63">
        <f t="shared" si="31"/>
        <v>-118.18496536090186</v>
      </c>
      <c r="AK31" s="63">
        <f t="shared" si="32"/>
        <v>-104.2473346260529</v>
      </c>
      <c r="AL31" s="49">
        <f t="shared" si="18"/>
        <v>6.4817467195611523E-9</v>
      </c>
    </row>
    <row r="32" spans="1:38" x14ac:dyDescent="0.25">
      <c r="A32" s="103" t="s">
        <v>122</v>
      </c>
      <c r="B32" s="103"/>
      <c r="C32" s="104">
        <v>1.66E-20</v>
      </c>
      <c r="D32" s="49"/>
      <c r="E32" s="68">
        <v>1.5848931924611176</v>
      </c>
      <c r="F32" s="61" t="str">
        <f t="shared" si="19"/>
        <v>9958.17762032064i</v>
      </c>
      <c r="G32" s="83" t="str">
        <f t="shared" si="0"/>
        <v>663.675109300902-29296.254640877i</v>
      </c>
      <c r="H32" s="62" t="str">
        <f t="shared" si="1"/>
        <v>-3432.2508646506-77.7539482663683i</v>
      </c>
      <c r="I32" s="62" t="str">
        <f t="shared" si="2"/>
        <v>60.0174773597772-0.000396046159710704i</v>
      </c>
      <c r="J32" s="89" t="str">
        <f t="shared" si="3"/>
        <v>150840.372768375-0.995372564649888i</v>
      </c>
      <c r="K32" s="89" t="str">
        <f t="shared" si="4"/>
        <v>0.116614508837368+5.14615197299374i</v>
      </c>
      <c r="L32" s="89" t="str">
        <f t="shared" si="5"/>
        <v>-0.00029128932962029+6.60076932851933E-06i</v>
      </c>
      <c r="M32" s="63">
        <f t="shared" si="20"/>
        <v>-141.02059991327963</v>
      </c>
      <c r="N32" s="63">
        <f t="shared" si="6"/>
        <v>-149.51029995663981</v>
      </c>
      <c r="O32" s="63" t="str">
        <f t="shared" si="7"/>
        <v>3.25091278445315E-11</v>
      </c>
      <c r="P32" s="63">
        <f t="shared" si="21"/>
        <v>-104.87994681607785</v>
      </c>
      <c r="Q32" s="63" t="str">
        <f t="shared" si="8"/>
        <v>2.51797853174017E-14</v>
      </c>
      <c r="R32" s="63">
        <f t="shared" si="22"/>
        <v>-135.98947977002788</v>
      </c>
      <c r="S32" s="63" t="str">
        <f t="shared" si="9"/>
        <v>7.16924443064909E-14</v>
      </c>
      <c r="T32" s="63">
        <f t="shared" si="23"/>
        <v>-131.44526612378303</v>
      </c>
      <c r="U32" s="63" t="str">
        <f t="shared" si="10"/>
        <v>1.58497141165556E-16</v>
      </c>
      <c r="V32" s="63">
        <f t="shared" si="24"/>
        <v>-157.99978566804089</v>
      </c>
      <c r="W32" s="63">
        <f t="shared" si="11"/>
        <v>109.08983404943042</v>
      </c>
      <c r="X32" s="63" t="str">
        <f t="shared" si="12"/>
        <v>720.701080766366-28529.6172693278i</v>
      </c>
      <c r="Y32" s="90" t="str">
        <f t="shared" si="13"/>
        <v>7.60649167767369E-10-2.61524068836703E-08i</v>
      </c>
      <c r="Z32" s="90" t="str">
        <f t="shared" si="14"/>
        <v>7.20701080766366E-11-2.85296172693278E-09i</v>
      </c>
      <c r="AA32" s="90" t="str">
        <f t="shared" si="15"/>
        <v>3.80324583883684E-10-1.30762034418352E-08i</v>
      </c>
      <c r="AB32" s="90" t="str">
        <f t="shared" si="25"/>
        <v>1.14438730429645E-14</v>
      </c>
      <c r="AC32" s="90">
        <f t="shared" si="26"/>
        <v>-139.41426968854</v>
      </c>
      <c r="AD32" s="90" t="str">
        <f t="shared" si="16"/>
        <v>3.37965294296157E-17+9.62964972193618E-35i</v>
      </c>
      <c r="AE32" s="63">
        <f t="shared" si="27"/>
        <v>-164.7112789519436</v>
      </c>
      <c r="AF32" s="63" t="str">
        <f t="shared" si="28"/>
        <v>1.03585965323637E-22+8.96831017167883E-44i</v>
      </c>
      <c r="AG32" s="63">
        <f t="shared" si="29"/>
        <v>-219.84699082384162</v>
      </c>
      <c r="AH32" s="116">
        <f t="shared" si="33"/>
        <v>-155</v>
      </c>
      <c r="AI32" s="63" t="str">
        <f t="shared" si="17"/>
        <v>1.13908327347714E-12</v>
      </c>
      <c r="AJ32" s="63">
        <f t="shared" si="31"/>
        <v>-119.43444525359322</v>
      </c>
      <c r="AK32" s="63">
        <f t="shared" si="32"/>
        <v>-104.71639764830635</v>
      </c>
      <c r="AL32" s="49">
        <f t="shared" si="18"/>
        <v>6.5280843047344818E-9</v>
      </c>
    </row>
    <row r="33" spans="1:38" x14ac:dyDescent="0.25">
      <c r="A33" s="103" t="s">
        <v>123</v>
      </c>
      <c r="B33" s="103" t="s">
        <v>15</v>
      </c>
      <c r="C33" s="103">
        <v>500</v>
      </c>
      <c r="D33" s="49"/>
      <c r="E33" s="68">
        <v>1.7782794100389276</v>
      </c>
      <c r="F33" s="61" t="str">
        <f t="shared" si="19"/>
        <v>11173.2590612166i</v>
      </c>
      <c r="G33" s="83" t="str">
        <f t="shared" si="0"/>
        <v>663.673187793165-26110.9139677886i</v>
      </c>
      <c r="H33" s="62" t="str">
        <f t="shared" si="1"/>
        <v>-2726.39637150802-69.298078699912i</v>
      </c>
      <c r="I33" s="62" t="str">
        <f t="shared" si="2"/>
        <v>60.0220009222855-0.00055941281053731i</v>
      </c>
      <c r="J33" s="89" t="str">
        <f t="shared" si="3"/>
        <v>150851.74172097-1.40595774075866i</v>
      </c>
      <c r="K33" s="89" t="str">
        <f t="shared" si="4"/>
        <v>0.146804439229982+5.7736129702997i</v>
      </c>
      <c r="L33" s="89" t="str">
        <f t="shared" si="5"/>
        <v>-0.000366682038093488+9.32354684232099E-06i</v>
      </c>
      <c r="M33" s="63">
        <f t="shared" si="20"/>
        <v>-141.52059991327963</v>
      </c>
      <c r="N33" s="63">
        <f t="shared" si="6"/>
        <v>-149.51029995663981</v>
      </c>
      <c r="O33" s="63" t="str">
        <f t="shared" si="7"/>
        <v>2.94167057286433E-11+4.93038065763132E-32i</v>
      </c>
      <c r="P33" s="63">
        <f t="shared" si="21"/>
        <v>-105.3140596396667</v>
      </c>
      <c r="Q33" s="63" t="str">
        <f t="shared" si="8"/>
        <v>2.51835811003312E-14</v>
      </c>
      <c r="R33" s="63">
        <f t="shared" si="22"/>
        <v>-135.98882513246048</v>
      </c>
      <c r="S33" s="63" t="str">
        <f t="shared" si="9"/>
        <v>7.17032517439985E-14</v>
      </c>
      <c r="T33" s="63">
        <f t="shared" si="23"/>
        <v>-131.44461148621562</v>
      </c>
      <c r="U33" s="63" t="str">
        <f t="shared" si="10"/>
        <v>1.99530353802377E-16</v>
      </c>
      <c r="V33" s="63">
        <f t="shared" si="24"/>
        <v>-156.99991027365078</v>
      </c>
      <c r="W33" s="63">
        <f t="shared" si="11"/>
        <v>109.08983404943042</v>
      </c>
      <c r="X33" s="63" t="str">
        <f t="shared" si="12"/>
        <v>720.700551464222-25427.3282577343i</v>
      </c>
      <c r="Y33" s="90" t="str">
        <f t="shared" si="13"/>
        <v>7.60648682568956E-10-2.33086139320853E-08i</v>
      </c>
      <c r="Z33" s="90" t="str">
        <f t="shared" si="14"/>
        <v>7.20700551464222E-11-2.54273282577343E-09i</v>
      </c>
      <c r="AA33" s="90" t="str">
        <f t="shared" si="15"/>
        <v>3.80324341284478E-10-1.16543069660427E-08i</v>
      </c>
      <c r="AB33" s="90" t="str">
        <f t="shared" si="25"/>
        <v>1.14463036667338E-14</v>
      </c>
      <c r="AC33" s="90">
        <f t="shared" si="26"/>
        <v>-139.41334736582667</v>
      </c>
      <c r="AD33" s="90" t="str">
        <f t="shared" si="16"/>
        <v>4.2546120247692E-17</v>
      </c>
      <c r="AE33" s="63">
        <f t="shared" si="27"/>
        <v>-163.71140036797752</v>
      </c>
      <c r="AF33" s="63" t="str">
        <f t="shared" si="28"/>
        <v>1.64197438988464E-22+1.79366203433577E-43i</v>
      </c>
      <c r="AG33" s="63">
        <f t="shared" si="29"/>
        <v>-217.84633620918476</v>
      </c>
      <c r="AH33" s="116">
        <f t="shared" si="33"/>
        <v>-156.25</v>
      </c>
      <c r="AI33" s="63" t="str">
        <f t="shared" si="17"/>
        <v>8.54320717799815E-13+1.54074395550979E-33i</v>
      </c>
      <c r="AJ33" s="63">
        <f t="shared" si="31"/>
        <v>-120.68379061602582</v>
      </c>
      <c r="AK33" s="63">
        <f t="shared" si="32"/>
        <v>-105.17417924949042</v>
      </c>
      <c r="AL33" s="49">
        <f t="shared" si="18"/>
        <v>6.5918542187133254E-9</v>
      </c>
    </row>
    <row r="34" spans="1:38" x14ac:dyDescent="0.25">
      <c r="A34" s="103" t="s">
        <v>117</v>
      </c>
      <c r="B34" s="103" t="s">
        <v>15</v>
      </c>
      <c r="C34" s="103">
        <v>540</v>
      </c>
      <c r="D34" s="49"/>
      <c r="E34" s="68">
        <v>1.9952623149688853</v>
      </c>
      <c r="F34" s="61" t="str">
        <f t="shared" si="19"/>
        <v>12536.6028613816i</v>
      </c>
      <c r="G34" s="83" t="str">
        <f t="shared" si="0"/>
        <v>663.67076876666-23272.0492561593i</v>
      </c>
      <c r="H34" s="62" t="str">
        <f t="shared" si="1"/>
        <v>-2165.7162177341-61.7617525355488i</v>
      </c>
      <c r="I34" s="62" t="str">
        <f t="shared" si="2"/>
        <v>60.0276947148022-0.000790160903374272i</v>
      </c>
      <c r="J34" s="89" t="str">
        <f t="shared" si="3"/>
        <v>150866.051782362-1.98589095135975i</v>
      </c>
      <c r="K34" s="89" t="str">
        <f t="shared" si="4"/>
        <v>0.184808660065395+6.47744416564286i</v>
      </c>
      <c r="L34" s="89" t="str">
        <f t="shared" si="5"/>
        <v>-0.000461578580036509+0.0000131693483895849i</v>
      </c>
      <c r="M34" s="63">
        <f t="shared" si="20"/>
        <v>-142.02059991327963</v>
      </c>
      <c r="N34" s="63">
        <f t="shared" si="6"/>
        <v>-149.51029995663981</v>
      </c>
      <c r="O34" s="63" t="str">
        <f t="shared" si="7"/>
        <v>2.66612714508082E-11</v>
      </c>
      <c r="P34" s="63">
        <f t="shared" si="21"/>
        <v>-105.74119143335392</v>
      </c>
      <c r="Q34" s="63" t="str">
        <f t="shared" si="8"/>
        <v>2.51883592466719E-14</v>
      </c>
      <c r="R34" s="63">
        <f t="shared" si="22"/>
        <v>-135.98800121240441</v>
      </c>
      <c r="S34" s="63" t="str">
        <f t="shared" si="9"/>
        <v>7.17168561884409E-14</v>
      </c>
      <c r="T34" s="63">
        <f t="shared" si="23"/>
        <v>-131.44378756615959</v>
      </c>
      <c r="U34" s="63" t="str">
        <f t="shared" si="10"/>
        <v>2.51184758675896E-16</v>
      </c>
      <c r="V34" s="63">
        <f t="shared" si="24"/>
        <v>-156.00006716144119</v>
      </c>
      <c r="W34" s="63">
        <f t="shared" si="11"/>
        <v>109.08983404943042</v>
      </c>
      <c r="X34" s="63" t="str">
        <f t="shared" si="12"/>
        <v>720.699885113406-22662.444442863i</v>
      </c>
      <c r="Y34" s="90" t="str">
        <f t="shared" si="13"/>
        <v>7.60648071741355E-10-2.07741121254197E-08i</v>
      </c>
      <c r="Z34" s="90" t="str">
        <f t="shared" si="14"/>
        <v>7.20699885113406E-11-2.2662444442863E-09i</v>
      </c>
      <c r="AA34" s="90" t="str">
        <f t="shared" si="15"/>
        <v>3.80324035870678E-10-1.03870560627098E-08i</v>
      </c>
      <c r="AB34" s="90" t="str">
        <f t="shared" si="25"/>
        <v>1.14493633800463E-14+4.93038065763132E-32i</v>
      </c>
      <c r="AC34" s="90">
        <f t="shared" si="26"/>
        <v>-139.41218660766836</v>
      </c>
      <c r="AD34" s="90" t="str">
        <f t="shared" si="16"/>
        <v>5.35605065814485E-17</v>
      </c>
      <c r="AE34" s="63">
        <f t="shared" si="27"/>
        <v>-162.71155324033305</v>
      </c>
      <c r="AF34" s="63" t="str">
        <f t="shared" si="28"/>
        <v>2.60284777266163E-22+7.17464813734306E-43i</v>
      </c>
      <c r="AG34" s="63">
        <f t="shared" si="29"/>
        <v>-215.84551230825178</v>
      </c>
      <c r="AH34" s="116">
        <f t="shared" si="33"/>
        <v>-157.5</v>
      </c>
      <c r="AI34" s="63" t="str">
        <f t="shared" si="17"/>
        <v>6.4077171141177E-13</v>
      </c>
      <c r="AJ34" s="63">
        <f t="shared" si="31"/>
        <v>-121.9329666959697</v>
      </c>
      <c r="AK34" s="63">
        <f t="shared" si="32"/>
        <v>-105.62079834138447</v>
      </c>
      <c r="AL34" s="49">
        <f t="shared" si="18"/>
        <v>6.6733773814128471E-9</v>
      </c>
    </row>
    <row r="35" spans="1:38" x14ac:dyDescent="0.25">
      <c r="A35" s="105"/>
      <c r="B35" s="105"/>
      <c r="C35" s="106"/>
      <c r="D35" s="49"/>
      <c r="E35" s="68">
        <v>2.2387211385683456</v>
      </c>
      <c r="F35" s="61" t="str">
        <f t="shared" si="19"/>
        <v>14066.299764725i</v>
      </c>
      <c r="G35" s="83" t="str">
        <f t="shared" si="0"/>
        <v>663.667723406058-20741.9904948889i</v>
      </c>
      <c r="H35" s="62" t="str">
        <f t="shared" si="1"/>
        <v>-1720.3521406098-55.0449673042027i</v>
      </c>
      <c r="I35" s="62" t="str">
        <f t="shared" si="2"/>
        <v>60.0348611341114-0.001116077353806i</v>
      </c>
      <c r="J35" s="89" t="str">
        <f t="shared" si="3"/>
        <v>150884.062958566-2.80500833241201i</v>
      </c>
      <c r="K35" s="89" t="str">
        <f t="shared" si="4"/>
        <v>0.23264893937407+7.26688508529402i</v>
      </c>
      <c r="L35" s="89" t="str">
        <f t="shared" si="5"/>
        <v>-0.000581018901856957+0.0000186012892300799i</v>
      </c>
      <c r="M35" s="63">
        <f t="shared" si="20"/>
        <v>-142.52059991327963</v>
      </c>
      <c r="N35" s="63">
        <f t="shared" si="6"/>
        <v>-149.51029995663981</v>
      </c>
      <c r="O35" s="63" t="str">
        <f t="shared" si="7"/>
        <v>2.42062924358742E-11</v>
      </c>
      <c r="P35" s="63">
        <f t="shared" si="21"/>
        <v>-106.16071724310694</v>
      </c>
      <c r="Q35" s="63" t="str">
        <f t="shared" si="8"/>
        <v>2.51943738454462E-14</v>
      </c>
      <c r="R35" s="63">
        <f t="shared" si="22"/>
        <v>-135.98696430673829</v>
      </c>
      <c r="S35" s="63" t="str">
        <f t="shared" si="9"/>
        <v>7.17339810877287E-14-1.92592994438724E-34i</v>
      </c>
      <c r="T35" s="63">
        <f t="shared" si="23"/>
        <v>-131.44275066049343</v>
      </c>
      <c r="U35" s="63" t="str">
        <f t="shared" si="10"/>
        <v>3.1620849263173E-16+1.54074395550979E-33i</v>
      </c>
      <c r="V35" s="63">
        <f t="shared" si="24"/>
        <v>-155.00026470097777</v>
      </c>
      <c r="W35" s="63">
        <f t="shared" si="11"/>
        <v>109.08983404943042</v>
      </c>
      <c r="X35" s="63" t="str">
        <f t="shared" si="12"/>
        <v>720.699046229184-20198.2774961199i</v>
      </c>
      <c r="Y35" s="90" t="str">
        <f t="shared" si="13"/>
        <v>7.60647302756573E-10-1.85152701643746E-08i</v>
      </c>
      <c r="Z35" s="90" t="str">
        <f t="shared" si="14"/>
        <v>7.20699046229184E-11-2.01982774961199E-09i</v>
      </c>
      <c r="AA35" s="90" t="str">
        <f t="shared" si="15"/>
        <v>3.80323651378287E-10-9.2576350821873E-09i</v>
      </c>
      <c r="AB35" s="90" t="str">
        <f t="shared" si="25"/>
        <v>1.14532149176426E-14</v>
      </c>
      <c r="AC35" s="90">
        <f t="shared" si="26"/>
        <v>-139.41072589742086</v>
      </c>
      <c r="AD35" s="90" t="str">
        <f t="shared" si="16"/>
        <v>6.74256943518629E-17-3.85185988877447E-34i</v>
      </c>
      <c r="AE35" s="63">
        <f t="shared" si="27"/>
        <v>-161.71174572474183</v>
      </c>
      <c r="AF35" s="63" t="str">
        <f t="shared" si="28"/>
        <v>4.1262207426797E-22</v>
      </c>
      <c r="AG35" s="63">
        <f t="shared" si="29"/>
        <v>-213.844475420528</v>
      </c>
      <c r="AH35" s="116">
        <f t="shared" si="33"/>
        <v>-158.75</v>
      </c>
      <c r="AI35" s="63" t="str">
        <f t="shared" si="17"/>
        <v>4.80625734641429E-13-1.54074395550979E-33i</v>
      </c>
      <c r="AJ35" s="63">
        <f t="shared" si="31"/>
        <v>-123.18192979030358</v>
      </c>
      <c r="AK35" s="63">
        <f t="shared" si="32"/>
        <v>-106.05623917948107</v>
      </c>
      <c r="AL35" s="49">
        <f t="shared" si="18"/>
        <v>6.7733201128008921E-9</v>
      </c>
    </row>
    <row r="36" spans="1:38" x14ac:dyDescent="0.25">
      <c r="A36" s="128" t="s">
        <v>94</v>
      </c>
      <c r="B36" s="128"/>
      <c r="C36" s="128"/>
      <c r="D36" s="49"/>
      <c r="E36" s="68">
        <v>2.5118864315095877</v>
      </c>
      <c r="F36" s="61" t="str">
        <f t="shared" si="19"/>
        <v>15782.6479197648i</v>
      </c>
      <c r="G36" s="83" t="str">
        <f t="shared" si="0"/>
        <v>663.663889545349-18487.1653397371i</v>
      </c>
      <c r="H36" s="62" t="str">
        <f t="shared" si="1"/>
        <v>-1366.58687899997-49.0585953471897i</v>
      </c>
      <c r="I36" s="62" t="str">
        <f t="shared" si="2"/>
        <v>60.0438805210795-0.00157640407971865i</v>
      </c>
      <c r="J36" s="89" t="str">
        <f t="shared" si="3"/>
        <v>150906.731150437-3.96193558070806i</v>
      </c>
      <c r="K36" s="89" t="str">
        <f t="shared" si="4"/>
        <v>0.292869624986462+8.15227004174844i</v>
      </c>
      <c r="L36" s="89" t="str">
        <f t="shared" si="5"/>
        <v>-0.000731342017995357+0.0000262734013287426i</v>
      </c>
      <c r="M36" s="63">
        <f t="shared" si="20"/>
        <v>-143.02059991327963</v>
      </c>
      <c r="N36" s="63">
        <f t="shared" si="6"/>
        <v>-149.51029995663981</v>
      </c>
      <c r="O36" s="63" t="str">
        <f t="shared" si="7"/>
        <v>2.2019230779372E-11+9.86076131526265E-32i</v>
      </c>
      <c r="P36" s="63">
        <f t="shared" si="21"/>
        <v>-106.57197856758872</v>
      </c>
      <c r="Q36" s="63" t="str">
        <f t="shared" si="8"/>
        <v>2.52019446179093E-14+9.62964972193618E-35i</v>
      </c>
      <c r="R36" s="63">
        <f t="shared" si="22"/>
        <v>-135.98565947145292</v>
      </c>
      <c r="S36" s="63" t="str">
        <f t="shared" si="9"/>
        <v>7.17555367593251E-14</v>
      </c>
      <c r="T36" s="63">
        <f t="shared" si="23"/>
        <v>-131.44144582520806</v>
      </c>
      <c r="U36" s="63" t="str">
        <f t="shared" si="10"/>
        <v>3.98060107973802E-16</v>
      </c>
      <c r="V36" s="63">
        <f t="shared" si="24"/>
        <v>-154.00051343528528</v>
      </c>
      <c r="W36" s="63">
        <f t="shared" si="11"/>
        <v>109.08983404943042</v>
      </c>
      <c r="X36" s="63" t="str">
        <f t="shared" si="12"/>
        <v>720.697990139295-18002.129418958i</v>
      </c>
      <c r="Y36" s="90" t="str">
        <f t="shared" si="13"/>
        <v>7.60646334664635E-10-1.65021145882401E-08i</v>
      </c>
      <c r="Z36" s="90" t="str">
        <f t="shared" si="14"/>
        <v>7.20697990139295E-11-1.8002129418958E-09i</v>
      </c>
      <c r="AA36" s="90" t="str">
        <f t="shared" si="15"/>
        <v>3.80323167332317E-10-8.25105729412005E-09i</v>
      </c>
      <c r="AB36" s="90" t="str">
        <f t="shared" si="25"/>
        <v>1.14580630611728E-14</v>
      </c>
      <c r="AC36" s="90">
        <f t="shared" si="26"/>
        <v>-139.40888791874852</v>
      </c>
      <c r="AD36" s="90" t="str">
        <f t="shared" si="16"/>
        <v>8.48791829729956E-17</v>
      </c>
      <c r="AE36" s="63">
        <f t="shared" si="27"/>
        <v>-160.71198809502891</v>
      </c>
      <c r="AF36" s="63" t="str">
        <f t="shared" si="28"/>
        <v>6.54158425749947E-22+2.86985925493723E-42i</v>
      </c>
      <c r="AG36" s="63">
        <f t="shared" si="29"/>
        <v>-211.84317060396182</v>
      </c>
      <c r="AH36" s="116">
        <f t="shared" si="33"/>
        <v>-160</v>
      </c>
      <c r="AI36" s="63" t="str">
        <f t="shared" si="17"/>
        <v>3.60526759051472E-13</v>
      </c>
      <c r="AJ36" s="63">
        <f t="shared" si="31"/>
        <v>-124.43062495501819</v>
      </c>
      <c r="AK36" s="63">
        <f t="shared" si="32"/>
        <v>-106.48036498291336</v>
      </c>
      <c r="AL36" s="49">
        <f t="shared" si="18"/>
        <v>6.8926943551816978E-9</v>
      </c>
    </row>
    <row r="37" spans="1:38" x14ac:dyDescent="0.25">
      <c r="A37" s="92" t="s">
        <v>22</v>
      </c>
      <c r="B37" s="92" t="s">
        <v>15</v>
      </c>
      <c r="C37" s="92">
        <f>'4thOrderLoop'!C78</f>
        <v>7500</v>
      </c>
      <c r="D37" s="49"/>
      <c r="E37" s="68">
        <v>2.818382931264463</v>
      </c>
      <c r="F37" s="61" t="str">
        <f t="shared" si="19"/>
        <v>17708.4222237266i</v>
      </c>
      <c r="G37" s="83" t="str">
        <f t="shared" si="0"/>
        <v>663.659063034184-16477.6536285133i</v>
      </c>
      <c r="H37" s="62" t="str">
        <f t="shared" si="1"/>
        <v>-1085.58114271233-43.7232011463908i</v>
      </c>
      <c r="I37" s="62" t="str">
        <f t="shared" si="2"/>
        <v>60.055231135255-0.00222655727745546i</v>
      </c>
      <c r="J37" s="89" t="str">
        <f t="shared" si="3"/>
        <v>150935.258355324-5.59594878852014i</v>
      </c>
      <c r="K37" s="89" t="str">
        <f t="shared" si="4"/>
        <v>0.368672422504669+9.14514826917341i</v>
      </c>
      <c r="L37" s="89" t="str">
        <f t="shared" si="5"/>
        <v>-0.00092051892091861+0.0000371092879576814i</v>
      </c>
      <c r="M37" s="63">
        <f t="shared" si="20"/>
        <v>-143.52059991327963</v>
      </c>
      <c r="N37" s="63">
        <f t="shared" si="6"/>
        <v>-149.51029995663981</v>
      </c>
      <c r="O37" s="63" t="str">
        <f t="shared" si="7"/>
        <v>2.00711134872397E-11</v>
      </c>
      <c r="P37" s="63">
        <f t="shared" si="21"/>
        <v>-106.97428533444265</v>
      </c>
      <c r="Q37" s="63" t="str">
        <f t="shared" si="8"/>
        <v>2.52114738190207E-14-1.92592994438724E-34i</v>
      </c>
      <c r="R37" s="63">
        <f t="shared" si="22"/>
        <v>-135.98401765479485</v>
      </c>
      <c r="S37" s="63" t="str">
        <f t="shared" si="9"/>
        <v>7.17826685124895E-14-3.85185988877447E-34i</v>
      </c>
      <c r="T37" s="63">
        <f t="shared" si="23"/>
        <v>-131.43980400855003</v>
      </c>
      <c r="U37" s="63" t="str">
        <f t="shared" si="10"/>
        <v>5.01091845433486E-16</v>
      </c>
      <c r="V37" s="63">
        <f t="shared" si="24"/>
        <v>-153.00082664733188</v>
      </c>
      <c r="W37" s="63">
        <f t="shared" si="11"/>
        <v>109.08983404943042</v>
      </c>
      <c r="X37" s="63" t="str">
        <f t="shared" si="12"/>
        <v>720.696660605299-16044.8586602651i</v>
      </c>
      <c r="Y37" s="90" t="str">
        <f t="shared" si="13"/>
        <v>7.60645115913128E-10-1.4707932045249E-08i</v>
      </c>
      <c r="Z37" s="90" t="str">
        <f t="shared" si="14"/>
        <v>7.20696660605299E-11-1.60448586602651E-09i</v>
      </c>
      <c r="AA37" s="90" t="str">
        <f t="shared" si="15"/>
        <v>3.80322557956564E-10-7.3539660226245E-09i</v>
      </c>
      <c r="AB37" s="90" t="str">
        <f t="shared" si="25"/>
        <v>1.14641654739733E-14</v>
      </c>
      <c r="AC37" s="90">
        <f t="shared" si="26"/>
        <v>-139.40657553951007</v>
      </c>
      <c r="AD37" s="90" t="str">
        <f t="shared" si="16"/>
        <v>1.06849051301378E-16</v>
      </c>
      <c r="AE37" s="63">
        <f t="shared" si="27"/>
        <v>-159.7122932952617</v>
      </c>
      <c r="AF37" s="63" t="str">
        <f t="shared" si="28"/>
        <v>1.03716324814918E-21</v>
      </c>
      <c r="AG37" s="63">
        <f t="shared" si="29"/>
        <v>-209.8415288084291</v>
      </c>
      <c r="AH37" s="116">
        <f t="shared" si="33"/>
        <v>-161.25</v>
      </c>
      <c r="AI37" s="63" t="str">
        <f t="shared" si="17"/>
        <v>2.7045915458708E-13</v>
      </c>
      <c r="AJ37" s="63">
        <f t="shared" si="31"/>
        <v>-125.67898313836022</v>
      </c>
      <c r="AK37" s="63">
        <f t="shared" si="32"/>
        <v>-106.89293119796122</v>
      </c>
      <c r="AL37" s="49">
        <f t="shared" si="18"/>
        <v>7.0328669175272613E-9</v>
      </c>
    </row>
    <row r="38" spans="1:38" x14ac:dyDescent="0.25">
      <c r="A38" s="92" t="s">
        <v>188</v>
      </c>
      <c r="B38" s="92" t="s">
        <v>15</v>
      </c>
      <c r="C38" s="92">
        <f>'4thOrderLoop'!C79</f>
        <v>820</v>
      </c>
      <c r="D38" s="49"/>
      <c r="E38" s="68">
        <v>3.1622776601683897</v>
      </c>
      <c r="F38" s="61" t="str">
        <f t="shared" si="19"/>
        <v>19869.1765315923i</v>
      </c>
      <c r="G38" s="83" t="str">
        <f t="shared" si="0"/>
        <v>663.652986869725-14686.7903584214i</v>
      </c>
      <c r="H38" s="62" t="str">
        <f t="shared" si="1"/>
        <v>-862.370351596977-38.9679872632663i</v>
      </c>
      <c r="I38" s="62" t="str">
        <f t="shared" si="2"/>
        <v>60.069514180289-0.00314478863487035i</v>
      </c>
      <c r="J38" s="89" t="str">
        <f t="shared" si="3"/>
        <v>150971.155562803-7.90371589789619i</v>
      </c>
      <c r="K38" s="89" t="str">
        <f t="shared" si="4"/>
        <v>0.464085759480526+10.2584131716682i</v>
      </c>
      <c r="L38" s="89" t="str">
        <f t="shared" si="5"/>
        <v>-0.0011585696714837+0.0000524131439145553i</v>
      </c>
      <c r="M38" s="63">
        <f t="shared" si="20"/>
        <v>-144.02059991327963</v>
      </c>
      <c r="N38" s="63">
        <f t="shared" si="6"/>
        <v>-149.51029995663981</v>
      </c>
      <c r="O38" s="63" t="str">
        <f t="shared" si="7"/>
        <v>1.83361505244392E-11</v>
      </c>
      <c r="P38" s="63">
        <f t="shared" si="21"/>
        <v>-107.36691834504099</v>
      </c>
      <c r="Q38" s="63" t="str">
        <f t="shared" si="8"/>
        <v>2.52234674610434E-14+1.92592994438724E-34i</v>
      </c>
      <c r="R38" s="63">
        <f t="shared" si="22"/>
        <v>-135.98195211351958</v>
      </c>
      <c r="S38" s="63" t="str">
        <f t="shared" si="9"/>
        <v>7.18168170765819E-14</v>
      </c>
      <c r="T38" s="63">
        <f t="shared" si="23"/>
        <v>-131.43773846727473</v>
      </c>
      <c r="U38" s="63" t="str">
        <f t="shared" si="10"/>
        <v>6.30779967561866E-16+6.16297582203915E-33i</v>
      </c>
      <c r="V38" s="63">
        <f t="shared" si="24"/>
        <v>-152.00122107536362</v>
      </c>
      <c r="W38" s="63">
        <f t="shared" si="11"/>
        <v>109.08983404943042</v>
      </c>
      <c r="X38" s="63" t="str">
        <f t="shared" si="12"/>
        <v>720.694986828137-14300.4934256351i</v>
      </c>
      <c r="Y38" s="90" t="str">
        <f t="shared" si="13"/>
        <v>7.60643581602277E-10-1.31089148225813E-08i</v>
      </c>
      <c r="Z38" s="90" t="str">
        <f t="shared" si="14"/>
        <v>7.20694986828137E-11-1.43004934256351E-09i</v>
      </c>
      <c r="AA38" s="90" t="str">
        <f t="shared" si="15"/>
        <v>3.80321790801138E-10-6.55445741129065E-09i</v>
      </c>
      <c r="AB38" s="90" t="str">
        <f t="shared" si="25"/>
        <v>1.14718463106498E-14</v>
      </c>
      <c r="AC38" s="90">
        <f t="shared" si="26"/>
        <v>-139.40366679919288</v>
      </c>
      <c r="AD38" s="90" t="str">
        <f t="shared" si="16"/>
        <v>1.34503082133684E-16</v>
      </c>
      <c r="AE38" s="63">
        <f t="shared" si="27"/>
        <v>-158.71267763703841</v>
      </c>
      <c r="AF38" s="63" t="str">
        <f t="shared" si="28"/>
        <v>1.64457494975535E-21+1.14794370197489E-41i</v>
      </c>
      <c r="AG38" s="63">
        <f t="shared" si="29"/>
        <v>-207.83946329220893</v>
      </c>
      <c r="AH38" s="116">
        <f t="shared" si="33"/>
        <v>-162.5</v>
      </c>
      <c r="AI38" s="63" t="str">
        <f t="shared" si="17"/>
        <v>2.02912237715594E-13</v>
      </c>
      <c r="AJ38" s="63">
        <f t="shared" si="31"/>
        <v>-126.92691759708487</v>
      </c>
      <c r="AK38" s="63">
        <f t="shared" si="32"/>
        <v>-107.29359817139276</v>
      </c>
      <c r="AL38" s="49">
        <f t="shared" si="18"/>
        <v>7.1955782771418109E-9</v>
      </c>
    </row>
    <row r="39" spans="1:38" x14ac:dyDescent="0.25">
      <c r="A39" s="92" t="s">
        <v>187</v>
      </c>
      <c r="B39" s="92" t="s">
        <v>16</v>
      </c>
      <c r="C39" s="92">
        <f>'4thOrderLoop'!C80</f>
        <v>3.2999999999999998E-9</v>
      </c>
      <c r="D39" s="49"/>
      <c r="E39" s="68">
        <v>3.548133892335767</v>
      </c>
      <c r="F39" s="61" t="str">
        <f t="shared" si="19"/>
        <v>22293.58274023i</v>
      </c>
      <c r="G39" s="83" t="str">
        <f t="shared" si="0"/>
        <v>663.645337516038-13090.8118572768i</v>
      </c>
      <c r="H39" s="62" t="str">
        <f t="shared" si="1"/>
        <v>-685.067717084762-34.7298548999722i</v>
      </c>
      <c r="I39" s="62" t="str">
        <f t="shared" si="2"/>
        <v>60.0874851171553-0.00444158575069454i</v>
      </c>
      <c r="J39" s="89" t="str">
        <f t="shared" si="3"/>
        <v>151016.321453393-11.1629225317735i</v>
      </c>
      <c r="K39" s="89" t="str">
        <f t="shared" si="4"/>
        <v>0.584177508483277+11.506439510081i</v>
      </c>
      <c r="L39" s="89" t="str">
        <f t="shared" si="5"/>
        <v>-0.00145808528592249+0.0000740264291782064i</v>
      </c>
      <c r="M39" s="63">
        <f t="shared" si="20"/>
        <v>-144.52059991327963</v>
      </c>
      <c r="N39" s="63">
        <f t="shared" si="6"/>
        <v>-149.51029995663981</v>
      </c>
      <c r="O39" s="63" t="str">
        <f t="shared" si="7"/>
        <v>1.67913957282579E-11</v>
      </c>
      <c r="P39" s="63">
        <f t="shared" si="21"/>
        <v>-107.74913203094378</v>
      </c>
      <c r="Q39" s="63" t="str">
        <f t="shared" si="8"/>
        <v>2.52385619467174E-14</v>
      </c>
      <c r="R39" s="63">
        <f t="shared" si="22"/>
        <v>-135.9793539413462</v>
      </c>
      <c r="S39" s="63" t="str">
        <f t="shared" si="9"/>
        <v>7.18597944316259E-14</v>
      </c>
      <c r="T39" s="63">
        <f t="shared" si="23"/>
        <v>-131.43514029510135</v>
      </c>
      <c r="U39" s="63" t="str">
        <f t="shared" si="10"/>
        <v>7.94014106708266E-16</v>
      </c>
      <c r="V39" s="63">
        <f t="shared" si="24"/>
        <v>-151.00171781689863</v>
      </c>
      <c r="W39" s="63">
        <f t="shared" si="11"/>
        <v>109.08983404943042</v>
      </c>
      <c r="X39" s="63" t="str">
        <f t="shared" si="12"/>
        <v>720.692879678595-12745.8870473622i</v>
      </c>
      <c r="Y39" s="90" t="str">
        <f t="shared" si="13"/>
        <v>7.60641650029495E-10-1.16838449324131E-08i</v>
      </c>
      <c r="Z39" s="90" t="str">
        <f t="shared" si="14"/>
        <v>7.20692879678595E-11-1.27458870473622E-09i</v>
      </c>
      <c r="AA39" s="90" t="str">
        <f t="shared" si="15"/>
        <v>3.80320825014747E-10-5.84192246620655E-09i</v>
      </c>
      <c r="AB39" s="90" t="str">
        <f t="shared" si="25"/>
        <v>1.14815133020137E-14</v>
      </c>
      <c r="AC39" s="90">
        <f t="shared" si="26"/>
        <v>-139.40000866694118</v>
      </c>
      <c r="AD39" s="90" t="str">
        <f t="shared" si="16"/>
        <v>1.69310476480319E-16</v>
      </c>
      <c r="AE39" s="63">
        <f t="shared" si="27"/>
        <v>-157.71316168076402</v>
      </c>
      <c r="AF39" s="63" t="str">
        <f t="shared" si="28"/>
        <v>2.60803541784359E-21</v>
      </c>
      <c r="AG39" s="63">
        <f t="shared" si="29"/>
        <v>-205.83686515060674</v>
      </c>
      <c r="AH39" s="116">
        <f t="shared" si="33"/>
        <v>-163.75</v>
      </c>
      <c r="AI39" s="63" t="str">
        <f t="shared" si="17"/>
        <v>1.52253770833839E-13</v>
      </c>
      <c r="AJ39" s="63">
        <f t="shared" si="31"/>
        <v>-128.17431942491154</v>
      </c>
      <c r="AK39" s="63">
        <f t="shared" si="32"/>
        <v>-107.68194300516973</v>
      </c>
      <c r="AL39" s="49">
        <f t="shared" si="18"/>
        <v>7.3829719538552266E-9</v>
      </c>
    </row>
    <row r="40" spans="1:38" x14ac:dyDescent="0.25">
      <c r="A40" s="92" t="s">
        <v>186</v>
      </c>
      <c r="B40" s="92" t="s">
        <v>16</v>
      </c>
      <c r="C40" s="92">
        <f>'4thOrderLoop'!C81</f>
        <v>2.1999999999999999E-10</v>
      </c>
      <c r="D40" s="49"/>
      <c r="E40" s="68">
        <v>3.9810717055349865</v>
      </c>
      <c r="F40" s="61" t="str">
        <f t="shared" si="19"/>
        <v>25013.8112470458i</v>
      </c>
      <c r="G40" s="83" t="str">
        <f t="shared" ref="G40:G71" si="34">IMDIV(IMDIV(IMPRODUCT(1/$C$24,IMDIV(1,F40),IMSUM(IMDIV(F40,$C$21),1)),(IMSUM(IMDIV(F40,$C$22),1))),IMSUM(IMDIV(F40,$C$23),1))</f>
        <v>663.635707683675-11668.5404534534i</v>
      </c>
      <c r="H40" s="62" t="str">
        <f t="shared" ref="H40:H71" si="35">IMDIV(IMDIV(IMPRODUCT($C$19,$C$14,G40),F40),$C$20)</f>
        <v>-544.231227350587-30.9525666168017i</v>
      </c>
      <c r="I40" s="62" t="str">
        <f t="shared" ref="I40:I71" si="36">IMDIV(IMDIV(IMPRODUCT($C$19,$C$14,G40),F40),IMSUM(1,H40))</f>
        <v>60.1100927810345-0.00627293492610853i</v>
      </c>
      <c r="J40" s="89" t="str">
        <f t="shared" ref="J40:J71" si="37">IMDIV(IMDIV(IMPRODUCT(($C$14*2*PI()),G40),F40),IMSUM(1,H40))</f>
        <v>151073.140709999-15.7656050242574i</v>
      </c>
      <c r="K40" s="89" t="str">
        <f t="shared" ref="K40:K71" si="38">IMDIV(IMDIV(($C$14*2*PI()),F40),IMSUM(1,H40))</f>
        <v>0.735322005909473+12.9052262680946i</v>
      </c>
      <c r="L40" s="89" t="str">
        <f t="shared" ref="L40:L71" si="39">IMDIV(1,IMSUM(1,H40))</f>
        <v>-0.00183487968390852+0.000104548915435123i</v>
      </c>
      <c r="M40" s="63">
        <f t="shared" si="20"/>
        <v>-145.02059991327963</v>
      </c>
      <c r="N40" s="63">
        <f t="shared" ref="N40:N71" si="40">$C$25+(10*LOG10($C$13))</f>
        <v>-149.51029995663981</v>
      </c>
      <c r="O40" s="63" t="str">
        <f t="shared" ref="O40:O71" si="41">IMPRODUCT((POWER(10,M40/10)+POWER(10,N40/10)),I40,(IMCONJUGATE(I40)))</f>
        <v>1.54164462394229E-11+1.97215226305253E-31i</v>
      </c>
      <c r="P40" s="63">
        <f t="shared" si="21"/>
        <v>-108.12015727224286</v>
      </c>
      <c r="Q40" s="63" t="str">
        <f t="shared" ref="Q40:Q71" si="42">IMPRODUCT(POWER(SQRT($C$32/$C$37),2),J40,(IMCONJUGATE(J40)),0.5)</f>
        <v>2.52575574624081E-14+3.85185988877447E-34i</v>
      </c>
      <c r="R40" s="63">
        <f t="shared" si="22"/>
        <v>-135.9760865029248</v>
      </c>
      <c r="S40" s="63" t="str">
        <f t="shared" ref="S40:S71" si="43">IMPRODUCT(POWER(SQRT($C$28*$C$13)*SQRT($C$32/$C$34),2)+POWER(SQRT($C$29+$C$28*$C$13)*SQRT($C$32/$C$34),2),J40,(IMCONJUGATE(J40)),0.5)</f>
        <v>7.19138788860231E-14-1.54074395550979E-33i</v>
      </c>
      <c r="T40" s="63">
        <f t="shared" si="23"/>
        <v>-131.43187285667995</v>
      </c>
      <c r="U40" s="63" t="str">
        <f t="shared" ref="U40:U71" si="44">IMPRODUCT(IMPRODUCT(SQRT($C$32*$C$38),IMDIV($C$39/($C$39+$C$40),IMSUM(IMPRODUCT(F40,$C$38,($C$39*$C$40)/($C$39+$C$40)),1))),IMCONJUGATE(IMPRODUCT(SQRT($C$32*$C$38),IMDIV($C$39/($C$39+$C$40),IMSUM(IMPRODUCT(F40,$C$38,($C$39*$C$40)/($C$39+$C$40)),1)))),K40,(IMCONJUGATE(K40)),0.5)</f>
        <v>9.99460541136385E-16</v>
      </c>
      <c r="V40" s="63">
        <f t="shared" si="24"/>
        <v>-150.0023434722371</v>
      </c>
      <c r="W40" s="63">
        <f t="shared" ref="W40:W71" si="45">$C$37*($C$34*($C$29+$C$28*$C$13)+$C$34*$C$28*$C$13)/($C$37+($C$34*($C$29+$C$28*$C$13)+$C$34*$C$28*$C$13))</f>
        <v>109.08983404943042</v>
      </c>
      <c r="X40" s="63" t="str">
        <f t="shared" ref="X40:X71" si="46">IMDIV(IMPRODUCT(IMDIV(1/($C$39+$C$40),F40),IMSUM(1,IMPRODUCT(F40,$C$38,$C$39))),IMSUM(IMPRODUCT(F40,$C$38,($C$39*$C$40)/($C$39+$C$40)),1))</f>
        <v>720.690226952005-11360.4108421205i</v>
      </c>
      <c r="Y40" s="90" t="str">
        <f t="shared" ref="Y40:Y71" si="47">IMPRODUCT($C$30,IMSUM(1,IMDIV(X40,W40)))</f>
        <v>7.60639218339491E-10-1.04138125620146E-08i</v>
      </c>
      <c r="Z40" s="90" t="str">
        <f t="shared" ref="Z40:Z71" si="48">IMPRODUCT($C$31,X40)</f>
        <v>7.20690226952005E-11-1.13604108421205E-09i</v>
      </c>
      <c r="AA40" s="90" t="str">
        <f t="shared" ref="AA40:AA71" si="49">IMPRODUCT($C$31,$C$33,IMSUM(1,IMDIV(X40,W40)))</f>
        <v>3.80319609169746E-10-5.2069062810073E-09i</v>
      </c>
      <c r="AB40" s="90" t="str">
        <f t="shared" si="25"/>
        <v>1.14936791867719E-14</v>
      </c>
      <c r="AC40" s="90">
        <f t="shared" si="26"/>
        <v>-139.39540929123248</v>
      </c>
      <c r="AD40" s="90" t="str">
        <f t="shared" ref="AD40:AD71" si="50">(IMPRODUCT(POWER(10,($C$17-20*LOG(E40*1000/$C$18))/10),L40,(IMCONJUGATE(L40))))</f>
        <v>2.13119341177417E-16+1.54074395550979E-33i</v>
      </c>
      <c r="AE40" s="63">
        <f t="shared" si="27"/>
        <v>-156.71377135056031</v>
      </c>
      <c r="AF40" s="63" t="str">
        <f t="shared" si="28"/>
        <v>4.13656854305018E-21</v>
      </c>
      <c r="AG40" s="63">
        <f t="shared" si="29"/>
        <v>-203.83359775005931</v>
      </c>
      <c r="AH40" s="116">
        <f t="shared" si="33"/>
        <v>-165</v>
      </c>
      <c r="AI40" s="63" t="str">
        <f t="shared" ref="AI40:AI71" si="51">IMPRODUCT(POWER(10,AH40/10),I40,(IMCONJUGATE(I40)))</f>
        <v>1.14260153022169E-13-1.54074395550979E-33i</v>
      </c>
      <c r="AJ40" s="63">
        <f t="shared" si="31"/>
        <v>-129.42105198649011</v>
      </c>
      <c r="AK40" s="63">
        <f t="shared" si="32"/>
        <v>-108.05747032401776</v>
      </c>
      <c r="AL40" s="49">
        <f t="shared" ref="AL40:AL71" si="52">10^((AK40+(10*LOG((E41-E40)*1000)))/10)</f>
        <v>7.5976360688356952E-9</v>
      </c>
    </row>
    <row r="41" spans="1:38" x14ac:dyDescent="0.25">
      <c r="A41" s="92" t="s">
        <v>185</v>
      </c>
      <c r="B41" s="92" t="s">
        <v>15</v>
      </c>
      <c r="C41" s="92">
        <f>'4thOrderLoop'!C82</f>
        <v>750</v>
      </c>
      <c r="D41" s="49"/>
      <c r="E41" s="68">
        <v>4.4668359215096469</v>
      </c>
      <c r="F41" s="61" t="str">
        <f t="shared" si="19"/>
        <v>28065.9578316114i</v>
      </c>
      <c r="G41" s="83" t="str">
        <f t="shared" si="34"/>
        <v>663.623584654388-10401.1034602563i</v>
      </c>
      <c r="H41" s="62" t="str">
        <f t="shared" si="35"/>
        <v>-432.360825753283-27.586000095749i</v>
      </c>
      <c r="I41" s="62" t="str">
        <f t="shared" si="36"/>
        <v>60.1385281446515-0.00885902748574251i</v>
      </c>
      <c r="J41" s="89" t="str">
        <f t="shared" si="37"/>
        <v>151144.606573552-22.2651645337727i</v>
      </c>
      <c r="K41" s="89" t="str">
        <f t="shared" si="38"/>
        <v>0.925534964642505+14.4725413335023i</v>
      </c>
      <c r="L41" s="89" t="str">
        <f t="shared" si="39"/>
        <v>-0.0023088024108579+0.000147650458095654i</v>
      </c>
      <c r="M41" s="63">
        <f t="shared" si="20"/>
        <v>-145.52059991327963</v>
      </c>
      <c r="N41" s="63">
        <f t="shared" si="40"/>
        <v>-149.51029995663981</v>
      </c>
      <c r="O41" s="63" t="str">
        <f t="shared" si="41"/>
        <v>1.41931766492508E-11</v>
      </c>
      <c r="P41" s="63">
        <f t="shared" si="21"/>
        <v>-108.47920391939203</v>
      </c>
      <c r="Q41" s="63" t="str">
        <f t="shared" si="42"/>
        <v>2.52814598018259E-14</v>
      </c>
      <c r="R41" s="63">
        <f t="shared" si="22"/>
        <v>-135.97197852637532</v>
      </c>
      <c r="S41" s="63" t="str">
        <f t="shared" si="43"/>
        <v>7.19819341579766E-14</v>
      </c>
      <c r="T41" s="63">
        <f t="shared" si="23"/>
        <v>-131.4277648801305</v>
      </c>
      <c r="U41" s="63" t="str">
        <f t="shared" si="44"/>
        <v>1.25801795827854E-15</v>
      </c>
      <c r="V41" s="63">
        <f t="shared" si="24"/>
        <v>-149.0031315926785</v>
      </c>
      <c r="W41" s="63">
        <f t="shared" si="45"/>
        <v>109.08983404943042</v>
      </c>
      <c r="X41" s="63" t="str">
        <f t="shared" si="46"/>
        <v>720.686887394858-10125.6803807239i</v>
      </c>
      <c r="Y41" s="90" t="str">
        <f t="shared" si="47"/>
        <v>7.60636157048605E-10-9.28196515189104E-09i</v>
      </c>
      <c r="Z41" s="90" t="str">
        <f t="shared" si="48"/>
        <v>7.20686887394858E-11-1.01256803807239E-09i</v>
      </c>
      <c r="AA41" s="90" t="str">
        <f t="shared" si="49"/>
        <v>3.80318078524303E-10-4.64098257594552E-09i</v>
      </c>
      <c r="AB41" s="90" t="str">
        <f t="shared" si="25"/>
        <v>1.15089885703069E-14</v>
      </c>
      <c r="AC41" s="90">
        <f t="shared" si="26"/>
        <v>-139.38962841238614</v>
      </c>
      <c r="AD41" s="90" t="str">
        <f t="shared" si="50"/>
        <v>2.68253912781515E-16</v>
      </c>
      <c r="AE41" s="63">
        <f t="shared" si="27"/>
        <v>-155.71453934648022</v>
      </c>
      <c r="AF41" s="63" t="str">
        <f t="shared" si="28"/>
        <v>6.56222350249723E-21</v>
      </c>
      <c r="AG41" s="63">
        <f t="shared" si="29"/>
        <v>-201.82948982080381</v>
      </c>
      <c r="AH41" s="116">
        <f t="shared" si="33"/>
        <v>-166.25</v>
      </c>
      <c r="AI41" s="63" t="str">
        <f t="shared" si="51"/>
        <v>8.57641127323196E-14-1.54074395550979E-33i</v>
      </c>
      <c r="AJ41" s="63">
        <f t="shared" si="31"/>
        <v>-130.66694400994064</v>
      </c>
      <c r="AK41" s="63">
        <f t="shared" si="32"/>
        <v>-108.41962161111832</v>
      </c>
      <c r="AL41" s="49">
        <f t="shared" si="52"/>
        <v>7.8426594662505216E-9</v>
      </c>
    </row>
    <row r="42" spans="1:38" x14ac:dyDescent="0.25">
      <c r="A42" s="88" t="s">
        <v>184</v>
      </c>
      <c r="B42" s="88" t="s">
        <v>16</v>
      </c>
      <c r="C42" s="92">
        <f>'4thOrderLoop'!C83</f>
        <v>2.1999999999999999E-10</v>
      </c>
      <c r="D42" s="49"/>
      <c r="E42" s="68">
        <v>5.0118723362727406</v>
      </c>
      <c r="F42" s="61" t="str">
        <f t="shared" si="19"/>
        <v>31490.5226247287i</v>
      </c>
      <c r="G42" s="83" t="str">
        <f t="shared" si="34"/>
        <v>663.608322999767-9271.68274571657i</v>
      </c>
      <c r="H42" s="62" t="str">
        <f t="shared" si="35"/>
        <v>-343.499005470355-24.5854830481102i</v>
      </c>
      <c r="I42" s="62" t="str">
        <f t="shared" si="36"/>
        <v>60.174284944126-0.0125106335227682i</v>
      </c>
      <c r="J42" s="89" t="str">
        <f t="shared" si="37"/>
        <v>151234.473212388-31.4426514935239i</v>
      </c>
      <c r="K42" s="89" t="str">
        <f t="shared" si="38"/>
        <v>1.16489312820317+16.2280617837812i</v>
      </c>
      <c r="L42" s="89" t="str">
        <f t="shared" si="39"/>
        <v>-0.00290474906876636+0.000208510558712704i</v>
      </c>
      <c r="M42" s="63">
        <f t="shared" si="20"/>
        <v>-146.02059991327963</v>
      </c>
      <c r="N42" s="63">
        <f t="shared" si="40"/>
        <v>-149.51029995663981</v>
      </c>
      <c r="O42" s="63" t="str">
        <f t="shared" si="41"/>
        <v>1.31055045614136E-11</v>
      </c>
      <c r="P42" s="63">
        <f t="shared" si="21"/>
        <v>-108.82546254074921</v>
      </c>
      <c r="Q42" s="63" t="str">
        <f t="shared" si="42"/>
        <v>2.53115326766255E-14+7.70371977754894E-34i</v>
      </c>
      <c r="R42" s="63">
        <f t="shared" si="22"/>
        <v>-135.96681556428166</v>
      </c>
      <c r="S42" s="63" t="str">
        <f t="shared" si="43"/>
        <v>7.20675583153921E-14</v>
      </c>
      <c r="T42" s="63">
        <f t="shared" si="23"/>
        <v>-131.42260191803678</v>
      </c>
      <c r="U42" s="63" t="str">
        <f t="shared" si="44"/>
        <v>1.58338872563636E-15-2.46519032881566E-32i</v>
      </c>
      <c r="V42" s="63">
        <f t="shared" si="24"/>
        <v>-148.00412451736429</v>
      </c>
      <c r="W42" s="63">
        <f t="shared" si="45"/>
        <v>109.08983404943042</v>
      </c>
      <c r="X42" s="63" t="str">
        <f t="shared" si="46"/>
        <v>720.68268318551-9025.31153771466i</v>
      </c>
      <c r="Y42" s="90" t="str">
        <f t="shared" si="47"/>
        <v>7.60632303152058E-10-8.27328377236796E-09i</v>
      </c>
      <c r="Z42" s="90" t="str">
        <f t="shared" si="48"/>
        <v>7.2068268318551E-11-9.02531153771466E-10i</v>
      </c>
      <c r="AA42" s="90" t="str">
        <f t="shared" si="49"/>
        <v>3.80316151576029E-10-4.13664188618398E-09i</v>
      </c>
      <c r="AB42" s="90" t="str">
        <f t="shared" si="25"/>
        <v>1.15282515440355E-14</v>
      </c>
      <c r="AC42" s="90">
        <f t="shared" si="26"/>
        <v>-139.38236555875994</v>
      </c>
      <c r="AD42" s="90" t="str">
        <f t="shared" si="50"/>
        <v>3.37636435278516E-16</v>
      </c>
      <c r="AE42" s="63">
        <f t="shared" si="27"/>
        <v>-154.71550693602694</v>
      </c>
      <c r="AF42" s="63" t="str">
        <f t="shared" si="28"/>
        <v>1.04127947558602E-20</v>
      </c>
      <c r="AG42" s="63">
        <f t="shared" si="29"/>
        <v>-199.82432691800594</v>
      </c>
      <c r="AH42" s="116">
        <f t="shared" si="33"/>
        <v>-167.5</v>
      </c>
      <c r="AI42" s="63" t="str">
        <f t="shared" si="51"/>
        <v>6.43905144945046E-14</v>
      </c>
      <c r="AJ42" s="63">
        <f t="shared" si="31"/>
        <v>-131.91178104784694</v>
      </c>
      <c r="AK42" s="63">
        <f t="shared" si="32"/>
        <v>-108.76778266569652</v>
      </c>
      <c r="AL42" s="49">
        <f t="shared" si="52"/>
        <v>8.1217057813091679E-9</v>
      </c>
    </row>
    <row r="43" spans="1:38" x14ac:dyDescent="0.25">
      <c r="A43" s="49"/>
      <c r="B43" s="49"/>
      <c r="C43" s="49"/>
      <c r="D43" s="49"/>
      <c r="E43" s="68">
        <v>5.6234132519035116</v>
      </c>
      <c r="F43" s="61" t="str">
        <f t="shared" si="19"/>
        <v>35332.9475205591i</v>
      </c>
      <c r="G43" s="83" t="str">
        <f t="shared" si="34"/>
        <v>663.589110245885-8265.2915646186i</v>
      </c>
      <c r="H43" s="62" t="str">
        <f t="shared" si="35"/>
        <v>-272.91355053554-21.9112004407895i</v>
      </c>
      <c r="I43" s="62" t="str">
        <f t="shared" si="36"/>
        <v>60.2192347926654-0.0176662673714723i</v>
      </c>
      <c r="J43" s="89" t="str">
        <f t="shared" si="37"/>
        <v>151347.444503549-44.4001726324487i</v>
      </c>
      <c r="K43" s="89" t="str">
        <f t="shared" si="38"/>
        <v>1.46605944421687+18.1935001621849i</v>
      </c>
      <c r="L43" s="89" t="str">
        <f t="shared" si="39"/>
        <v>-0.00365391321109069+0.000294437789524551i</v>
      </c>
      <c r="M43" s="63">
        <f t="shared" si="20"/>
        <v>-146.52059991327963</v>
      </c>
      <c r="N43" s="63">
        <f t="shared" si="40"/>
        <v>-149.51029995663981</v>
      </c>
      <c r="O43" s="63" t="str">
        <f t="shared" si="41"/>
        <v>1.21391847289423E-11</v>
      </c>
      <c r="P43" s="63">
        <f t="shared" si="21"/>
        <v>-109.15810479620809</v>
      </c>
      <c r="Q43" s="63" t="str">
        <f t="shared" si="42"/>
        <v>2.53493630282374E-14-1.54074395550979E-33i</v>
      </c>
      <c r="R43" s="63">
        <f t="shared" si="22"/>
        <v>-135.96032949024814</v>
      </c>
      <c r="S43" s="63" t="str">
        <f t="shared" si="43"/>
        <v>7.21752697331759E-14</v>
      </c>
      <c r="T43" s="63">
        <f t="shared" si="23"/>
        <v>-131.41611584400329</v>
      </c>
      <c r="U43" s="63" t="str">
        <f t="shared" si="44"/>
        <v>1.99279410248023E-15</v>
      </c>
      <c r="V43" s="63">
        <f t="shared" si="24"/>
        <v>-147.00537570730523</v>
      </c>
      <c r="W43" s="63">
        <f t="shared" si="45"/>
        <v>109.08983404943042</v>
      </c>
      <c r="X43" s="63" t="str">
        <f t="shared" si="46"/>
        <v>720.677390469272-8044.70308368219i</v>
      </c>
      <c r="Y43" s="90" t="str">
        <f t="shared" si="47"/>
        <v>7.60627451447695E-10-7.37438383125324E-09i</v>
      </c>
      <c r="Z43" s="90" t="str">
        <f t="shared" si="48"/>
        <v>7.20677390469272E-11-8.04470308368219E-10i</v>
      </c>
      <c r="AA43" s="90" t="str">
        <f t="shared" si="49"/>
        <v>3.80313725723848E-10-3.68719191562662E-09i</v>
      </c>
      <c r="AB43" s="90" t="str">
        <f t="shared" si="25"/>
        <v>1.15524857019127E-14</v>
      </c>
      <c r="AC43" s="90">
        <f t="shared" si="26"/>
        <v>-139.37324560319257</v>
      </c>
      <c r="AD43" s="90" t="str">
        <f t="shared" si="50"/>
        <v>4.24939768425254E-16</v>
      </c>
      <c r="AE43" s="63">
        <f t="shared" si="27"/>
        <v>-153.71672623112781</v>
      </c>
      <c r="AF43" s="63" t="str">
        <f t="shared" si="28"/>
        <v>1.65278327008703E-20-7.3468396926393E-40i</v>
      </c>
      <c r="AG43" s="63">
        <f t="shared" si="29"/>
        <v>-197.81784091846757</v>
      </c>
      <c r="AH43" s="116">
        <f t="shared" si="33"/>
        <v>-168.75</v>
      </c>
      <c r="AI43" s="63" t="str">
        <f t="shared" si="51"/>
        <v>4.8358241815726E-14-3.08148791101958E-33i</v>
      </c>
      <c r="AJ43" s="63">
        <f t="shared" si="31"/>
        <v>-133.15529497381343</v>
      </c>
      <c r="AK43" s="63">
        <f t="shared" si="32"/>
        <v>-109.10128862323856</v>
      </c>
      <c r="AL43" s="49">
        <f t="shared" si="52"/>
        <v>8.4391101764989872E-9</v>
      </c>
    </row>
    <row r="44" spans="1:38" x14ac:dyDescent="0.25">
      <c r="A44" s="49"/>
      <c r="B44" s="49"/>
      <c r="C44" s="49"/>
      <c r="D44" s="49"/>
      <c r="E44" s="68">
        <v>6.3095734448019556</v>
      </c>
      <c r="F44" s="61" t="str">
        <f t="shared" si="19"/>
        <v>39644.2191629501i</v>
      </c>
      <c r="G44" s="83" t="str">
        <f t="shared" si="34"/>
        <v>663.564923663254-7368.57569126451i</v>
      </c>
      <c r="H44" s="62" t="str">
        <f t="shared" si="35"/>
        <v>-216.845528082508-19.527666175618i</v>
      </c>
      <c r="I44" s="62" t="str">
        <f t="shared" si="36"/>
        <v>60.2757198266777-0.0249445276035716i</v>
      </c>
      <c r="J44" s="89" t="str">
        <f t="shared" si="37"/>
        <v>151489.406877862-62.6924357332414i</v>
      </c>
      <c r="K44" s="89" t="str">
        <f t="shared" si="38"/>
        <v>1.84493922610882+20.3927022286363i</v>
      </c>
      <c r="L44" s="89" t="str">
        <f t="shared" si="39"/>
        <v>-0.00459533044462705+0.000415742126726059i</v>
      </c>
      <c r="M44" s="63">
        <f t="shared" si="20"/>
        <v>-147.02059991327963</v>
      </c>
      <c r="N44" s="63">
        <f t="shared" si="40"/>
        <v>-149.51029995663981</v>
      </c>
      <c r="O44" s="63" t="str">
        <f t="shared" si="41"/>
        <v>1.12816293555857E-11+7.88860905221012E-31i</v>
      </c>
      <c r="P44" s="63">
        <f t="shared" si="21"/>
        <v>-109.47628172601058</v>
      </c>
      <c r="Q44" s="63" t="str">
        <f t="shared" si="42"/>
        <v>2.53969423880464E-14</v>
      </c>
      <c r="R44" s="63">
        <f t="shared" si="22"/>
        <v>-135.95218566211997</v>
      </c>
      <c r="S44" s="63" t="str">
        <f t="shared" si="43"/>
        <v>7.23107387437431E-14</v>
      </c>
      <c r="T44" s="63">
        <f t="shared" si="23"/>
        <v>-131.40797201587512</v>
      </c>
      <c r="U44" s="63" t="str">
        <f t="shared" si="44"/>
        <v>2.50786831333591E-15</v>
      </c>
      <c r="V44" s="63">
        <f t="shared" si="24"/>
        <v>-146.00695271785921</v>
      </c>
      <c r="W44" s="63">
        <f t="shared" si="45"/>
        <v>109.08983404943042</v>
      </c>
      <c r="X44" s="63" t="str">
        <f t="shared" si="46"/>
        <v>720.670727444841-7170.84293540955i</v>
      </c>
      <c r="Y44" s="90" t="str">
        <f t="shared" si="47"/>
        <v>7.6062134361511E-10-6.57333746805438E-09i</v>
      </c>
      <c r="Z44" s="90" t="str">
        <f t="shared" si="48"/>
        <v>7.20670727444841E-11-7.17084293540955E-10i</v>
      </c>
      <c r="AA44" s="90" t="str">
        <f t="shared" si="49"/>
        <v>3.80310671807555E-10-3.28666873402719E-09i</v>
      </c>
      <c r="AB44" s="90" t="str">
        <f t="shared" si="25"/>
        <v>1.15829685471955E-14</v>
      </c>
      <c r="AC44" s="90">
        <f t="shared" si="26"/>
        <v>-139.3618012295336</v>
      </c>
      <c r="AD44" s="90" t="str">
        <f t="shared" si="50"/>
        <v>5.34778195068703E-16-6.16297582203915E-33i</v>
      </c>
      <c r="AE44" s="63">
        <f t="shared" si="27"/>
        <v>-152.71826308879008</v>
      </c>
      <c r="AF44" s="63" t="str">
        <f t="shared" si="28"/>
        <v>2.62440152590698E-20</v>
      </c>
      <c r="AG44" s="63">
        <f t="shared" si="29"/>
        <v>-195.80969718402625</v>
      </c>
      <c r="AH44" s="116">
        <f t="shared" si="33"/>
        <v>-170</v>
      </c>
      <c r="AI44" s="63" t="str">
        <f t="shared" si="51"/>
        <v>3.6331630228536E-14-3.08148791101958E-33i</v>
      </c>
      <c r="AJ44" s="63">
        <f t="shared" si="31"/>
        <v>-134.39715114568529</v>
      </c>
      <c r="AK44" s="63">
        <f t="shared" si="32"/>
        <v>-109.41942587207386</v>
      </c>
      <c r="AL44" s="49">
        <f t="shared" si="52"/>
        <v>8.8000052643476862E-9</v>
      </c>
    </row>
    <row r="45" spans="1:38" x14ac:dyDescent="0.25">
      <c r="A45" s="49"/>
      <c r="B45" s="49"/>
      <c r="C45" s="49"/>
      <c r="D45" s="49"/>
      <c r="E45" s="68">
        <v>7.0794578438414062</v>
      </c>
      <c r="F45" s="61" t="str">
        <f t="shared" si="19"/>
        <v>44481.5455072216i</v>
      </c>
      <c r="G45" s="83" t="str">
        <f t="shared" si="34"/>
        <v>663.53447589331-6569.63621386146i</v>
      </c>
      <c r="H45" s="62" t="str">
        <f t="shared" si="35"/>
        <v>-172.30911146273-17.403252211261i</v>
      </c>
      <c r="I45" s="62" t="str">
        <f t="shared" si="36"/>
        <v>60.3466663047888-0.0352177481038299i</v>
      </c>
      <c r="J45" s="89" t="str">
        <f t="shared" si="37"/>
        <v>151667.714825408-88.5118549751816i</v>
      </c>
      <c r="K45" s="89" t="str">
        <f t="shared" si="38"/>
        <v>2.32149826690721+22.8516946452576i</v>
      </c>
      <c r="L45" s="89" t="str">
        <f t="shared" si="39"/>
        <v>-0.00577777174647992+0.000586962468397158i</v>
      </c>
      <c r="M45" s="63">
        <f t="shared" si="20"/>
        <v>-147.52059991327965</v>
      </c>
      <c r="N45" s="63">
        <f t="shared" si="40"/>
        <v>-149.51029995663981</v>
      </c>
      <c r="O45" s="63" t="str">
        <f t="shared" si="41"/>
        <v>1.05217525480678E-11+7.88860905221012E-31i</v>
      </c>
      <c r="P45" s="63">
        <f t="shared" si="21"/>
        <v>-109.77911916212344</v>
      </c>
      <c r="Q45" s="63" t="str">
        <f t="shared" si="42"/>
        <v>2.54567679338788E-14</v>
      </c>
      <c r="R45" s="63">
        <f t="shared" si="22"/>
        <v>-135.9419673648695</v>
      </c>
      <c r="S45" s="63" t="str">
        <f t="shared" si="43"/>
        <v>7.24810753672938E-14</v>
      </c>
      <c r="T45" s="63">
        <f t="shared" si="23"/>
        <v>-131.39775371862464</v>
      </c>
      <c r="U45" s="63" t="str">
        <f t="shared" si="44"/>
        <v>3.15577404919911E-15</v>
      </c>
      <c r="V45" s="63">
        <f t="shared" si="24"/>
        <v>-145.00894099473678</v>
      </c>
      <c r="W45" s="63">
        <f t="shared" si="45"/>
        <v>109.08983404943042</v>
      </c>
      <c r="X45" s="63" t="str">
        <f t="shared" si="46"/>
        <v>720.662339369253-6392.13549285483i</v>
      </c>
      <c r="Y45" s="90" t="str">
        <f t="shared" si="47"/>
        <v>7.60613654470048E-10-5.85951527798497E-09i</v>
      </c>
      <c r="Z45" s="90" t="str">
        <f t="shared" si="48"/>
        <v>7.20662339369253E-11-6.39213549285483E-10i</v>
      </c>
      <c r="AA45" s="90" t="str">
        <f t="shared" si="49"/>
        <v>3.80306827235024E-10-2.92975763899249E-09i</v>
      </c>
      <c r="AB45" s="90" t="str">
        <f t="shared" si="25"/>
        <v>1.16213026916505E-14</v>
      </c>
      <c r="AC45" s="90">
        <f t="shared" si="26"/>
        <v>-139.34745186912534</v>
      </c>
      <c r="AD45" s="90" t="str">
        <f t="shared" si="50"/>
        <v>6.72945538728761E-16</v>
      </c>
      <c r="AE45" s="63">
        <f t="shared" si="27"/>
        <v>-151.72020081669982</v>
      </c>
      <c r="AF45" s="63" t="str">
        <f t="shared" si="28"/>
        <v>4.16919395626434E-20</v>
      </c>
      <c r="AG45" s="63">
        <f t="shared" si="29"/>
        <v>-193.79947900465939</v>
      </c>
      <c r="AH45" s="116">
        <f t="shared" si="33"/>
        <v>-171.25</v>
      </c>
      <c r="AI45" s="63" t="str">
        <f t="shared" si="51"/>
        <v>2.73090577065826E-14</v>
      </c>
      <c r="AJ45" s="63">
        <f t="shared" si="31"/>
        <v>-135.63693284843484</v>
      </c>
      <c r="AK45" s="63">
        <f t="shared" si="32"/>
        <v>-109.72143012214288</v>
      </c>
      <c r="AL45" s="49">
        <f t="shared" si="52"/>
        <v>9.2104851556508407E-9</v>
      </c>
    </row>
    <row r="46" spans="1:38" x14ac:dyDescent="0.25">
      <c r="A46" s="49"/>
      <c r="B46" s="49"/>
      <c r="C46" s="49"/>
      <c r="D46" s="49"/>
      <c r="E46" s="68">
        <v>7.9432823472428469</v>
      </c>
      <c r="F46" s="61" t="str">
        <f t="shared" si="19"/>
        <v>49909.1149349752i</v>
      </c>
      <c r="G46" s="83" t="str">
        <f t="shared" si="34"/>
        <v>663.496146535418-5857.87163874086i</v>
      </c>
      <c r="H46" s="62" t="str">
        <f t="shared" si="35"/>
        <v>-136.932574088621-15.5097688795559i</v>
      </c>
      <c r="I46" s="62" t="str">
        <f t="shared" si="36"/>
        <v>60.4357228133013-0.0497155312121833i</v>
      </c>
      <c r="J46" s="89" t="str">
        <f t="shared" si="37"/>
        <v>151891.538243726-124.948758100544i</v>
      </c>
      <c r="K46" s="89" t="str">
        <f t="shared" si="38"/>
        <v>2.92078012817903+25.5986510342916i</v>
      </c>
      <c r="L46" s="89" t="str">
        <f t="shared" si="39"/>
        <v>-0.00726204688835423+0.000828592186869362i</v>
      </c>
      <c r="M46" s="63">
        <f t="shared" si="20"/>
        <v>-148.02059991327963</v>
      </c>
      <c r="N46" s="63">
        <f t="shared" si="40"/>
        <v>-149.51029995663981</v>
      </c>
      <c r="O46" s="63" t="str">
        <f t="shared" si="41"/>
        <v>9.84983727077679E-12</v>
      </c>
      <c r="P46" s="63">
        <f t="shared" si="21"/>
        <v>-110.06570944424973</v>
      </c>
      <c r="Q46" s="63" t="str">
        <f t="shared" si="42"/>
        <v>2.55319675358094E-14</v>
      </c>
      <c r="R46" s="63">
        <f t="shared" si="22"/>
        <v>-135.92915716452313</v>
      </c>
      <c r="S46" s="63" t="str">
        <f t="shared" si="43"/>
        <v>7.2695185345013E-14</v>
      </c>
      <c r="T46" s="63">
        <f t="shared" si="23"/>
        <v>-131.38494351827828</v>
      </c>
      <c r="U46" s="63" t="str">
        <f t="shared" si="44"/>
        <v>3.9705907472785E-15</v>
      </c>
      <c r="V46" s="63">
        <f t="shared" si="24"/>
        <v>-144.01144873791836</v>
      </c>
      <c r="W46" s="63">
        <f t="shared" si="45"/>
        <v>109.08983404943042</v>
      </c>
      <c r="X46" s="63" t="str">
        <f t="shared" si="46"/>
        <v>720.651779685374-5698.24777176461i</v>
      </c>
      <c r="Y46" s="90" t="str">
        <f t="shared" si="47"/>
        <v>7.60603974664435E-10-5.22344526547051E-09i</v>
      </c>
      <c r="Z46" s="90" t="str">
        <f t="shared" si="48"/>
        <v>7.20651779685374E-11-5.69824777176461E-10i</v>
      </c>
      <c r="AA46" s="90" t="str">
        <f t="shared" si="49"/>
        <v>3.80301987332218E-10-2.61172263273526E-09i</v>
      </c>
      <c r="AB46" s="90" t="str">
        <f t="shared" si="25"/>
        <v>1.16694967007438E-14-1.97215226305253E-31i</v>
      </c>
      <c r="AC46" s="90">
        <f t="shared" si="26"/>
        <v>-139.3294787444334</v>
      </c>
      <c r="AD46" s="90" t="str">
        <f t="shared" si="50"/>
        <v>8.46711596087507E-16+1.23259516440783E-32i</v>
      </c>
      <c r="AE46" s="63">
        <f t="shared" si="27"/>
        <v>-150.72264492333778</v>
      </c>
      <c r="AF46" s="63" t="str">
        <f t="shared" si="28"/>
        <v>6.62724619916102E-20</v>
      </c>
      <c r="AG46" s="63">
        <f t="shared" si="29"/>
        <v>-191.78666895268117</v>
      </c>
      <c r="AH46" s="116">
        <f t="shared" si="33"/>
        <v>-172.5</v>
      </c>
      <c r="AI46" s="63" t="str">
        <f t="shared" si="51"/>
        <v>2.05393991685495E-14</v>
      </c>
      <c r="AJ46" s="63">
        <f t="shared" si="31"/>
        <v>-136.87412264808847</v>
      </c>
      <c r="AK46" s="63">
        <f t="shared" si="32"/>
        <v>-110.00647986358516</v>
      </c>
      <c r="AL46" s="49">
        <f t="shared" si="52"/>
        <v>9.6778198328346246E-9</v>
      </c>
    </row>
    <row r="47" spans="1:38" x14ac:dyDescent="0.25">
      <c r="A47" s="49"/>
      <c r="B47" s="49"/>
      <c r="C47" s="49"/>
      <c r="D47" s="49"/>
      <c r="E47" s="68">
        <v>8.9125093813374914</v>
      </c>
      <c r="F47" s="61" t="str">
        <f t="shared" si="19"/>
        <v>55998.94799492i</v>
      </c>
      <c r="G47" s="83" t="str">
        <f t="shared" si="34"/>
        <v>663.447896082028-5223.83720869343i</v>
      </c>
      <c r="H47" s="62" t="str">
        <f t="shared" si="35"/>
        <v>-108.831986344253-13.8220908274786i</v>
      </c>
      <c r="I47" s="62" t="str">
        <f t="shared" si="36"/>
        <v>60.5474266455001-0.0701700958315811i</v>
      </c>
      <c r="J47" s="89" t="str">
        <f t="shared" si="37"/>
        <v>152172.280594616-176.356686052853i</v>
      </c>
      <c r="K47" s="89" t="str">
        <f t="shared" si="38"/>
        <v>3.67416664828027+28.6637306026255i</v>
      </c>
      <c r="L47" s="89" t="str">
        <f t="shared" si="39"/>
        <v>-0.00912377742500109+0.00116950159719269i</v>
      </c>
      <c r="M47" s="63">
        <f t="shared" si="20"/>
        <v>-148.52059991327965</v>
      </c>
      <c r="N47" s="63">
        <f t="shared" si="40"/>
        <v>-149.51029995663981</v>
      </c>
      <c r="O47" s="63" t="str">
        <f t="shared" si="41"/>
        <v>9.25742347948363E-12</v>
      </c>
      <c r="P47" s="63">
        <f t="shared" si="21"/>
        <v>-110.33509869078721</v>
      </c>
      <c r="Q47" s="63" t="str">
        <f t="shared" si="42"/>
        <v>2.56264537185723E-14</v>
      </c>
      <c r="R47" s="63">
        <f t="shared" si="22"/>
        <v>-135.9131148890022</v>
      </c>
      <c r="S47" s="63" t="str">
        <f t="shared" si="43"/>
        <v>7.29642085042684E-14</v>
      </c>
      <c r="T47" s="63">
        <f t="shared" si="23"/>
        <v>-131.36890124275735</v>
      </c>
      <c r="U47" s="63" t="str">
        <f t="shared" si="44"/>
        <v>4.99503670734117E-15+9.86076131526265E-32i</v>
      </c>
      <c r="V47" s="63">
        <f t="shared" si="24"/>
        <v>-143.01461315899033</v>
      </c>
      <c r="W47" s="63">
        <f t="shared" si="45"/>
        <v>109.08983404943042</v>
      </c>
      <c r="X47" s="63" t="str">
        <f t="shared" si="46"/>
        <v>720.638486271015-5079.97229009416i</v>
      </c>
      <c r="Y47" s="90" t="str">
        <f t="shared" si="47"/>
        <v>7.60591788914521E-10-4.65668715546156E-09i</v>
      </c>
      <c r="Z47" s="90" t="str">
        <f t="shared" si="48"/>
        <v>7.20638486271015E-11-5.07997229009416E-10i</v>
      </c>
      <c r="AA47" s="90" t="str">
        <f t="shared" si="49"/>
        <v>3.80295894457261E-10-2.32834357773078E-09i</v>
      </c>
      <c r="AB47" s="90" t="str">
        <f t="shared" si="25"/>
        <v>1.17300649047671E-14</v>
      </c>
      <c r="AC47" s="90">
        <f t="shared" si="26"/>
        <v>-139.30699584840633</v>
      </c>
      <c r="AD47" s="90" t="str">
        <f t="shared" si="50"/>
        <v>1.06518999058575E-15+2.46519032881566E-32i</v>
      </c>
      <c r="AE47" s="63">
        <f t="shared" si="27"/>
        <v>-149.72572923207372</v>
      </c>
      <c r="AF47" s="63" t="str">
        <f t="shared" si="28"/>
        <v>1.05423471637708E-19</v>
      </c>
      <c r="AG47" s="63">
        <f t="shared" si="29"/>
        <v>-189.77062686392028</v>
      </c>
      <c r="AH47" s="116">
        <f t="shared" si="33"/>
        <v>-173.75</v>
      </c>
      <c r="AI47" s="63" t="str">
        <f t="shared" si="51"/>
        <v>1.54593760927769E-14</v>
      </c>
      <c r="AJ47" s="63">
        <f t="shared" si="31"/>
        <v>-138.10808037256751</v>
      </c>
      <c r="AK47" s="63">
        <f t="shared" si="32"/>
        <v>-110.27368453554976</v>
      </c>
      <c r="AL47" s="49">
        <f t="shared" si="52"/>
        <v>1.0210736423519015E-8</v>
      </c>
    </row>
    <row r="48" spans="1:38" x14ac:dyDescent="0.25">
      <c r="A48" s="49"/>
      <c r="B48" s="49"/>
      <c r="C48" s="49"/>
      <c r="D48" s="49"/>
      <c r="E48" s="68">
        <v>10</v>
      </c>
      <c r="F48" s="61" t="str">
        <f t="shared" si="19"/>
        <v>62831.8530717959i</v>
      </c>
      <c r="G48" s="83" t="str">
        <f t="shared" si="34"/>
        <v>663.38715766785-4659.11956790504i</v>
      </c>
      <c r="H48" s="62" t="str">
        <f t="shared" si="35"/>
        <v>-86.5108894636307-12.3178236214274i</v>
      </c>
      <c r="I48" s="62" t="str">
        <f t="shared" si="36"/>
        <v>60.6874012148466-0.0990199841768055i</v>
      </c>
      <c r="J48" s="89" t="str">
        <f t="shared" si="37"/>
        <v>152524.075057614-248.864363878827i</v>
      </c>
      <c r="K48" s="89" t="str">
        <f t="shared" si="38"/>
        <v>4.62093259491873+32.0787233595081i</v>
      </c>
      <c r="L48" s="89" t="str">
        <f t="shared" si="39"/>
        <v>-0.01145668691411+0.00165033306961383i</v>
      </c>
      <c r="M48" s="63">
        <f t="shared" si="20"/>
        <v>-149.02059991327963</v>
      </c>
      <c r="N48" s="63">
        <f t="shared" si="40"/>
        <v>-149.51029995663981</v>
      </c>
      <c r="O48" s="63" t="str">
        <f t="shared" si="41"/>
        <v>8.73721637820487E-12</v>
      </c>
      <c r="P48" s="63">
        <f t="shared" si="21"/>
        <v>-110.58626908800456</v>
      </c>
      <c r="Q48" s="63" t="str">
        <f t="shared" si="42"/>
        <v>2.57451119822552E-14</v>
      </c>
      <c r="R48" s="63">
        <f t="shared" si="22"/>
        <v>-135.89305214803159</v>
      </c>
      <c r="S48" s="63" t="str">
        <f t="shared" si="43"/>
        <v>7.33020549494766E-14-2.46519032881566E-32i</v>
      </c>
      <c r="T48" s="63">
        <f t="shared" si="23"/>
        <v>-131.34883850178673</v>
      </c>
      <c r="U48" s="63" t="str">
        <f t="shared" si="44"/>
        <v>6.28259613842192E-15+9.86076131526265E-32i</v>
      </c>
      <c r="V48" s="63">
        <f t="shared" si="24"/>
        <v>-142.01860856962736</v>
      </c>
      <c r="W48" s="63">
        <f t="shared" si="45"/>
        <v>109.08983404943042</v>
      </c>
      <c r="X48" s="63" t="str">
        <f t="shared" si="46"/>
        <v>720.621751551197-4529.10488868117i</v>
      </c>
      <c r="Y48" s="90" t="str">
        <f t="shared" si="47"/>
        <v>7.60576448603516E-10-4.15172039461437E-09i</v>
      </c>
      <c r="Z48" s="90" t="str">
        <f t="shared" si="48"/>
        <v>7.20621751551197E-11-4.52910488868117E-10i</v>
      </c>
      <c r="AA48" s="90" t="str">
        <f t="shared" si="49"/>
        <v>3.80288224301758E-10-2.07586019730719E-09i</v>
      </c>
      <c r="AB48" s="90" t="str">
        <f t="shared" si="25"/>
        <v>1.18061499197834E-14-1.97215226305253E-31i</v>
      </c>
      <c r="AC48" s="90">
        <f t="shared" si="26"/>
        <v>-139.27891706213819</v>
      </c>
      <c r="AD48" s="90" t="str">
        <f t="shared" si="50"/>
        <v>1.339792742886E-15-2.46519032881566E-32i</v>
      </c>
      <c r="AE48" s="63">
        <f t="shared" si="27"/>
        <v>-148.72962378935648</v>
      </c>
      <c r="AF48" s="63" t="str">
        <f t="shared" si="28"/>
        <v>1.678585874663E-19</v>
      </c>
      <c r="AG48" s="63">
        <f t="shared" si="29"/>
        <v>-187.75056435805141</v>
      </c>
      <c r="AH48" s="116">
        <v>-175</v>
      </c>
      <c r="AI48" s="63" t="str">
        <f t="shared" si="51"/>
        <v>1.16465752440376E-14</v>
      </c>
      <c r="AJ48" s="63">
        <f t="shared" si="31"/>
        <v>-139.33801763159684</v>
      </c>
      <c r="AK48" s="63">
        <f t="shared" si="32"/>
        <v>-110.52206696531029</v>
      </c>
      <c r="AL48" s="49">
        <f t="shared" si="52"/>
        <v>1.0819789774472671E-8</v>
      </c>
    </row>
    <row r="49" spans="1:40" ht="12.75" customHeight="1" x14ac:dyDescent="0.25">
      <c r="A49" s="49"/>
      <c r="B49" s="49"/>
      <c r="C49" s="49"/>
      <c r="D49" s="49"/>
      <c r="E49" s="68">
        <v>11.220184543019659</v>
      </c>
      <c r="F49" s="61" t="str">
        <f t="shared" si="19"/>
        <v>70498.4986645446i</v>
      </c>
      <c r="G49" s="83" t="str">
        <f t="shared" si="34"/>
        <v>663.310700945899-4156.22510930646i</v>
      </c>
      <c r="H49" s="62" t="str">
        <f t="shared" si="35"/>
        <v>-68.7806036446775-10.977006590157i</v>
      </c>
      <c r="I49" s="62" t="str">
        <f t="shared" si="36"/>
        <v>60.8625855279149-0.139694935060346i</v>
      </c>
      <c r="J49" s="89" t="str">
        <f t="shared" si="37"/>
        <v>152964.361258382-351.091665383414i</v>
      </c>
      <c r="K49" s="89" t="str">
        <f t="shared" si="38"/>
        <v>5.81015128983702+35.8764075121524i</v>
      </c>
      <c r="L49" s="89" t="str">
        <f t="shared" si="39"/>
        <v>-0.0143764254652474+0.00232824891767268i</v>
      </c>
      <c r="M49" s="63">
        <f t="shared" si="20"/>
        <v>-149.52059991327963</v>
      </c>
      <c r="N49" s="63">
        <f t="shared" si="40"/>
        <v>-149.51029995663981</v>
      </c>
      <c r="O49" s="63" t="str">
        <f t="shared" si="41"/>
        <v>8.28301391893561E-12</v>
      </c>
      <c r="P49" s="63">
        <f t="shared" si="21"/>
        <v>-110.81811608843677</v>
      </c>
      <c r="Q49" s="63" t="str">
        <f t="shared" si="42"/>
        <v>2.58940291158001E-14</v>
      </c>
      <c r="R49" s="63">
        <f t="shared" si="22"/>
        <v>-135.8680036800408</v>
      </c>
      <c r="S49" s="63" t="str">
        <f t="shared" si="43"/>
        <v>7.37260551213754E-14+2.46519032881566E-32i</v>
      </c>
      <c r="T49" s="63">
        <f t="shared" si="23"/>
        <v>-131.32379003379594</v>
      </c>
      <c r="U49" s="63" t="str">
        <f t="shared" si="44"/>
        <v>7.90013132008848E-15</v>
      </c>
      <c r="V49" s="63">
        <f t="shared" si="24"/>
        <v>-141.02365689580978</v>
      </c>
      <c r="W49" s="63">
        <f t="shared" si="45"/>
        <v>109.08983404943042</v>
      </c>
      <c r="X49" s="63" t="str">
        <f t="shared" si="46"/>
        <v>720.600684892279-4038.33586473111i</v>
      </c>
      <c r="Y49" s="90" t="str">
        <f t="shared" si="47"/>
        <v>7.60557137309204E-10-3.7018443560023E-09i</v>
      </c>
      <c r="Z49" s="90" t="str">
        <f t="shared" si="48"/>
        <v>7.20600684892279E-11-4.03833586473111E-10i</v>
      </c>
      <c r="AA49" s="90" t="str">
        <f t="shared" si="49"/>
        <v>3.80278568654602E-10-1.85092217800115E-09i</v>
      </c>
      <c r="AB49" s="90" t="str">
        <f t="shared" si="25"/>
        <v>1.19016718937372E-14</v>
      </c>
      <c r="AC49" s="90">
        <f t="shared" si="26"/>
        <v>-139.24392026571942</v>
      </c>
      <c r="AD49" s="90" t="str">
        <f t="shared" si="50"/>
        <v>1.6847888698837E-15</v>
      </c>
      <c r="AE49" s="63">
        <f t="shared" si="27"/>
        <v>-147.73454515201834</v>
      </c>
      <c r="AF49" s="63" t="str">
        <f t="shared" si="28"/>
        <v>2.67576754266953E-19</v>
      </c>
      <c r="AG49" s="63">
        <f t="shared" si="29"/>
        <v>-185.72551618602645</v>
      </c>
      <c r="AH49" s="116">
        <f>AH48-(($AH$48-$AH$68)/20)</f>
        <v>-175</v>
      </c>
      <c r="AI49" s="63" t="str">
        <f t="shared" si="51"/>
        <v>1.17139423855032E-14-3.08148791101958E-33i</v>
      </c>
      <c r="AJ49" s="63">
        <f t="shared" si="31"/>
        <v>-139.31296916360608</v>
      </c>
      <c r="AK49" s="63">
        <f t="shared" si="32"/>
        <v>-110.74902797891626</v>
      </c>
      <c r="AL49" s="49">
        <f t="shared" si="52"/>
        <v>1.1521863379394952E-8</v>
      </c>
    </row>
    <row r="50" spans="1:40" x14ac:dyDescent="0.25">
      <c r="A50" s="49"/>
      <c r="B50" s="49"/>
      <c r="C50" s="49"/>
      <c r="D50" s="49"/>
      <c r="E50" s="68">
        <v>12.589254117941703</v>
      </c>
      <c r="F50" s="61" t="str">
        <f t="shared" si="19"/>
        <v>79100.6165022014i</v>
      </c>
      <c r="G50" s="83" t="str">
        <f t="shared" si="34"/>
        <v>663.214460964403-3708.48052127167i</v>
      </c>
      <c r="H50" s="62" t="str">
        <f t="shared" si="35"/>
        <v>-54.6969265154827-9.78184796368732i</v>
      </c>
      <c r="I50" s="62" t="str">
        <f t="shared" si="36"/>
        <v>61.0814929507904-0.197013131010052i</v>
      </c>
      <c r="J50" s="89" t="str">
        <f t="shared" si="37"/>
        <v>153514.5356196-495.148004033565i</v>
      </c>
      <c r="K50" s="89" t="str">
        <f t="shared" si="38"/>
        <v>7.30301098672699+40.0894847018476i</v>
      </c>
      <c r="L50" s="89" t="str">
        <f t="shared" si="39"/>
        <v>-0.0180248825131749+0.00328355218350094i</v>
      </c>
      <c r="M50" s="63">
        <f t="shared" si="20"/>
        <v>-150.02059991327963</v>
      </c>
      <c r="N50" s="63">
        <f t="shared" si="40"/>
        <v>-149.51029995663981</v>
      </c>
      <c r="O50" s="63" t="str">
        <f t="shared" si="41"/>
        <v>7.88965268594406E-12-3.15544362088405E-30i</v>
      </c>
      <c r="P50" s="63">
        <f t="shared" si="21"/>
        <v>-111.0294211464837</v>
      </c>
      <c r="Q50" s="63" t="str">
        <f t="shared" si="42"/>
        <v>2.60807666519724E-14+1.23259516440783E-32i</v>
      </c>
      <c r="R50" s="63">
        <f t="shared" si="22"/>
        <v>-135.83679646535688</v>
      </c>
      <c r="S50" s="63" t="str">
        <f t="shared" si="43"/>
        <v>7.42577383840881E-14+4.93038065763132E-32i</v>
      </c>
      <c r="T50" s="63">
        <f t="shared" si="23"/>
        <v>-131.29258281911203</v>
      </c>
      <c r="U50" s="63" t="str">
        <f t="shared" si="44"/>
        <v>9.93106573647586E-15+1.97215226305253E-31i</v>
      </c>
      <c r="V50" s="63">
        <f t="shared" si="24"/>
        <v>-140.03004143384265</v>
      </c>
      <c r="W50" s="63">
        <f t="shared" si="45"/>
        <v>109.08983404943042</v>
      </c>
      <c r="X50" s="63" t="str">
        <f t="shared" si="46"/>
        <v>720.574165291359-3601.15297324454i</v>
      </c>
      <c r="Y50" s="90" t="str">
        <f t="shared" si="47"/>
        <v>7.60532827435465E-10-3.30108942288133E-09i</v>
      </c>
      <c r="Z50" s="90" t="str">
        <f t="shared" si="48"/>
        <v>7.20574165291359E-11-3.60115297324454E-10i</v>
      </c>
      <c r="AA50" s="90" t="str">
        <f t="shared" si="49"/>
        <v>3.80266413717733E-10-1.65054471144066E-09i</v>
      </c>
      <c r="AB50" s="90" t="str">
        <f t="shared" si="25"/>
        <v>1.20215084125731E-14</v>
      </c>
      <c r="AC50" s="90">
        <f t="shared" si="26"/>
        <v>-139.20041035315327</v>
      </c>
      <c r="AD50" s="90" t="str">
        <f t="shared" si="50"/>
        <v>2.11798565450501E-15-4.93038065763132E-32i</v>
      </c>
      <c r="AE50" s="63">
        <f t="shared" si="27"/>
        <v>-146.74076985772638</v>
      </c>
      <c r="AF50" s="63" t="str">
        <f t="shared" si="28"/>
        <v>4.27138841688812E-19</v>
      </c>
      <c r="AG50" s="63">
        <f t="shared" si="29"/>
        <v>-183.69430934393546</v>
      </c>
      <c r="AH50" s="116">
        <f t="shared" ref="AH50:AH67" si="53">AH49-(($AH$48-$AH$68)/20)</f>
        <v>-175</v>
      </c>
      <c r="AI50" s="63" t="str">
        <f t="shared" si="51"/>
        <v>1.17984187228916E-14</v>
      </c>
      <c r="AJ50" s="63">
        <f t="shared" si="31"/>
        <v>-139.2817619489222</v>
      </c>
      <c r="AK50" s="63">
        <f t="shared" si="32"/>
        <v>-110.95508387915592</v>
      </c>
      <c r="AL50" s="49">
        <f t="shared" si="52"/>
        <v>1.2328695640356155E-8</v>
      </c>
      <c r="AM50" s="69" t="s">
        <v>95</v>
      </c>
    </row>
    <row r="51" spans="1:40" x14ac:dyDescent="0.25">
      <c r="A51" s="49"/>
      <c r="B51" s="49"/>
      <c r="C51" s="49"/>
      <c r="D51" s="49"/>
      <c r="E51" s="68">
        <v>14.125375446227576</v>
      </c>
      <c r="F51" s="61" t="str">
        <f t="shared" si="19"/>
        <v>88752.3514621324i</v>
      </c>
      <c r="G51" s="83" t="str">
        <f t="shared" si="34"/>
        <v>663.093323126423-3309.94421185827i</v>
      </c>
      <c r="H51" s="62" t="str">
        <f t="shared" si="35"/>
        <v>-43.5098509153183-8.71648879422535i</v>
      </c>
      <c r="I51" s="62" t="str">
        <f t="shared" si="36"/>
        <v>61.3544894065552-0.277733077861271i</v>
      </c>
      <c r="J51" s="89" t="str">
        <f t="shared" si="37"/>
        <v>154200.650547509-698.019357654366i</v>
      </c>
      <c r="K51" s="89" t="str">
        <f t="shared" si="38"/>
        <v>9.1755982106092+44.7489030503048i</v>
      </c>
      <c r="L51" s="89" t="str">
        <f t="shared" si="39"/>
        <v>-0.0225748234425855+0.00462888463102104i</v>
      </c>
      <c r="M51" s="63">
        <f t="shared" si="20"/>
        <v>-150.52059991327963</v>
      </c>
      <c r="N51" s="63">
        <f t="shared" si="40"/>
        <v>-149.51029995663981</v>
      </c>
      <c r="O51" s="63" t="str">
        <f t="shared" si="41"/>
        <v>7.55297106803127E-12</v>
      </c>
      <c r="P51" s="63">
        <f t="shared" si="21"/>
        <v>-111.21882178882659</v>
      </c>
      <c r="Q51" s="63" t="str">
        <f t="shared" si="42"/>
        <v>2.63146828320638E-14+2.46519032881566E-32i</v>
      </c>
      <c r="R51" s="63">
        <f t="shared" si="22"/>
        <v>-135.79801860118093</v>
      </c>
      <c r="S51" s="63" t="str">
        <f t="shared" si="43"/>
        <v>7.49237497301818E-14-4.93038065763132E-32i</v>
      </c>
      <c r="T51" s="63">
        <f t="shared" si="23"/>
        <v>-131.25380495493607</v>
      </c>
      <c r="U51" s="63" t="str">
        <f t="shared" si="44"/>
        <v>1.24792217513402E-14+3.94430452610506E-31i</v>
      </c>
      <c r="V51" s="63">
        <f t="shared" si="24"/>
        <v>-139.03812497957873</v>
      </c>
      <c r="W51" s="63">
        <f t="shared" si="45"/>
        <v>109.08983404943042</v>
      </c>
      <c r="X51" s="63" t="str">
        <f t="shared" si="46"/>
        <v>720.540781867225-3211.75500888247i</v>
      </c>
      <c r="Y51" s="90" t="str">
        <f t="shared" si="47"/>
        <v>7.60502225661775E-10-2.94413777128598E-09i</v>
      </c>
      <c r="Z51" s="90" t="str">
        <f t="shared" si="48"/>
        <v>7.20540781867225E-11-3.21175500888247E-10i</v>
      </c>
      <c r="AA51" s="90" t="str">
        <f t="shared" si="49"/>
        <v>3.80251112830887E-10-1.47206888564299E-09i</v>
      </c>
      <c r="AB51" s="90" t="str">
        <f t="shared" si="25"/>
        <v>1.21717082188086E-14</v>
      </c>
      <c r="AC51" s="90">
        <f t="shared" si="26"/>
        <v>-139.14648467132159</v>
      </c>
      <c r="AD51" s="90" t="str">
        <f t="shared" si="50"/>
        <v>2.66155092694911E-15</v>
      </c>
      <c r="AE51" s="63">
        <f t="shared" si="27"/>
        <v>-145.74865219485073</v>
      </c>
      <c r="AF51" s="63" t="str">
        <f t="shared" si="28"/>
        <v>6.83041050064924E-19-3.76158192263132E-37i</v>
      </c>
      <c r="AG51" s="63">
        <f t="shared" si="29"/>
        <v>-181.65553194882227</v>
      </c>
      <c r="AH51" s="116">
        <f t="shared" si="53"/>
        <v>-175</v>
      </c>
      <c r="AI51" s="63" t="str">
        <f t="shared" si="51"/>
        <v>1.19042377379385E-14</v>
      </c>
      <c r="AJ51" s="63">
        <f t="shared" si="31"/>
        <v>-139.24298408474621</v>
      </c>
      <c r="AK51" s="63">
        <f t="shared" si="32"/>
        <v>-111.13880168230909</v>
      </c>
      <c r="AL51" s="49">
        <f t="shared" si="52"/>
        <v>1.326005577837744E-8</v>
      </c>
      <c r="AM51" s="8">
        <f>SQRT(2*SUM(AL8:AL107))</f>
        <v>2.2342948544775035E-3</v>
      </c>
      <c r="AN51" t="s">
        <v>96</v>
      </c>
    </row>
    <row r="52" spans="1:40" x14ac:dyDescent="0.25">
      <c r="A52" s="49"/>
      <c r="B52" s="49"/>
      <c r="C52" s="49"/>
      <c r="D52" s="49"/>
      <c r="E52" s="68">
        <v>15.848931924611176</v>
      </c>
      <c r="F52" s="61" t="str">
        <f t="shared" si="19"/>
        <v>99581.7762032064i</v>
      </c>
      <c r="G52" s="83" t="str">
        <f t="shared" si="34"/>
        <v>662.940853089075-2955.32743225474i</v>
      </c>
      <c r="H52" s="62" t="str">
        <f t="shared" si="35"/>
        <v>-34.6236242790193-7.76679252730263i</v>
      </c>
      <c r="I52" s="62" t="str">
        <f t="shared" si="36"/>
        <v>61.6940685925613-0.391316509376211i</v>
      </c>
      <c r="J52" s="89" t="str">
        <f t="shared" si="37"/>
        <v>155054.106128364-983.485656867456i</v>
      </c>
      <c r="K52" s="89" t="str">
        <f t="shared" si="38"/>
        <v>11.5221878616725+49.8813009580549i</v>
      </c>
      <c r="L52" s="89" t="str">
        <f t="shared" si="39"/>
        <v>-0.0282344765426876+0.00652194182293675i</v>
      </c>
      <c r="M52" s="63">
        <f t="shared" si="20"/>
        <v>-151.02059991327963</v>
      </c>
      <c r="N52" s="63">
        <f t="shared" si="40"/>
        <v>-149.51029995663981</v>
      </c>
      <c r="O52" s="63" t="str">
        <f t="shared" si="41"/>
        <v>7.26978794425296E-12</v>
      </c>
      <c r="P52" s="63">
        <f t="shared" si="21"/>
        <v>-111.38478257089236</v>
      </c>
      <c r="Q52" s="63" t="str">
        <f t="shared" si="42"/>
        <v>2.66073023322422E-14+2.46519032881566E-32i</v>
      </c>
      <c r="R52" s="63">
        <f t="shared" si="22"/>
        <v>-135.74999155573059</v>
      </c>
      <c r="S52" s="63" t="str">
        <f t="shared" si="43"/>
        <v>7.57569024737453E-14</v>
      </c>
      <c r="T52" s="63">
        <f t="shared" si="23"/>
        <v>-131.2057779094857</v>
      </c>
      <c r="U52" s="63" t="str">
        <f t="shared" si="44"/>
        <v>1.56733780305291E-14+3.94430452610506E-31i</v>
      </c>
      <c r="V52" s="63">
        <f t="shared" si="24"/>
        <v>-138.04837391411954</v>
      </c>
      <c r="W52" s="63">
        <f t="shared" si="45"/>
        <v>109.08983404943042</v>
      </c>
      <c r="X52" s="63" t="str">
        <f t="shared" si="46"/>
        <v>720.498759024299-2864.97482100149i</v>
      </c>
      <c r="Y52" s="90" t="str">
        <f t="shared" si="47"/>
        <v>7.60463704342816E-10-2.62625279978272E-09i</v>
      </c>
      <c r="Z52" s="90" t="str">
        <f t="shared" si="48"/>
        <v>7.20498759024299E-11-2.86497482100149E-10i</v>
      </c>
      <c r="AA52" s="90" t="str">
        <f t="shared" si="49"/>
        <v>3.80231852171408E-10-1.31312639989136E-09i</v>
      </c>
      <c r="AB52" s="90" t="str">
        <f t="shared" si="25"/>
        <v>1.23597398098997E-14</v>
      </c>
      <c r="AC52" s="90">
        <f t="shared" si="26"/>
        <v>-139.07990671667446</v>
      </c>
      <c r="AD52" s="90" t="str">
        <f t="shared" si="50"/>
        <v>3.34299106937207E-15</v>
      </c>
      <c r="AE52" s="63">
        <f t="shared" si="27"/>
        <v>-144.75864783601153</v>
      </c>
      <c r="AF52" s="63" t="str">
        <f t="shared" si="28"/>
        <v>1.09458489479788E-18</v>
      </c>
      <c r="AG52" s="63">
        <f t="shared" si="29"/>
        <v>-179.60750549388464</v>
      </c>
      <c r="AH52" s="116">
        <f t="shared" si="53"/>
        <v>-175</v>
      </c>
      <c r="AI52" s="63" t="str">
        <f t="shared" si="51"/>
        <v>1.20366129643135E-14-1.23259516440783E-32i</v>
      </c>
      <c r="AJ52" s="63">
        <f t="shared" si="31"/>
        <v>-139.19495703929584</v>
      </c>
      <c r="AK52" s="63">
        <f t="shared" si="32"/>
        <v>-111.29855697458062</v>
      </c>
      <c r="AL52" s="49">
        <f t="shared" si="52"/>
        <v>1.4340682532702556E-8</v>
      </c>
      <c r="AM52" s="70">
        <f>AM51*(360/(2*3.14159))</f>
        <v>0.1280157734796554</v>
      </c>
      <c r="AN52" t="s">
        <v>97</v>
      </c>
    </row>
    <row r="53" spans="1:40" x14ac:dyDescent="0.25">
      <c r="A53" s="49"/>
      <c r="B53" s="49"/>
      <c r="C53" s="49"/>
      <c r="D53" s="49"/>
      <c r="E53" s="68">
        <v>17.782794100389278</v>
      </c>
      <c r="F53" s="61" t="str">
        <f t="shared" si="19"/>
        <v>111732.590612166i</v>
      </c>
      <c r="G53" s="83" t="str">
        <f t="shared" si="34"/>
        <v>662.748957706788-2639.92404857878i</v>
      </c>
      <c r="H53" s="62" t="str">
        <f t="shared" si="35"/>
        <v>-27.5650226414175-6.92015743202858i</v>
      </c>
      <c r="I53" s="62" t="str">
        <f t="shared" si="36"/>
        <v>62.1150804272006-0.550975985799095i</v>
      </c>
      <c r="J53" s="89" t="str">
        <f t="shared" si="37"/>
        <v>156112.224277786-1384.75368743253i</v>
      </c>
      <c r="K53" s="89" t="str">
        <f t="shared" si="38"/>
        <v>14.4590397467751+55.5051994147538i</v>
      </c>
      <c r="L53" s="89" t="str">
        <f t="shared" si="39"/>
        <v>-0.0352513404533434+0.00918293309665169i</v>
      </c>
      <c r="M53" s="63">
        <f t="shared" si="20"/>
        <v>-151.52059991327963</v>
      </c>
      <c r="N53" s="63">
        <f t="shared" si="40"/>
        <v>-149.51029995663981</v>
      </c>
      <c r="O53" s="63" t="str">
        <f t="shared" si="41"/>
        <v>7.03789369467182E-12+1.26217744835362E-29i</v>
      </c>
      <c r="P53" s="63">
        <f t="shared" si="21"/>
        <v>-111.52557297342557</v>
      </c>
      <c r="Q53" s="63" t="str">
        <f t="shared" si="42"/>
        <v>2.69727248169841E-14</v>
      </c>
      <c r="R53" s="63">
        <f t="shared" si="22"/>
        <v>-135.69075178381905</v>
      </c>
      <c r="S53" s="63" t="str">
        <f t="shared" si="43"/>
        <v>7.6797341492802E-14+9.86076131526265E-32i</v>
      </c>
      <c r="T53" s="63">
        <f t="shared" si="23"/>
        <v>-131.14653813757423</v>
      </c>
      <c r="U53" s="63" t="str">
        <f t="shared" si="44"/>
        <v>1.96725633313042E-14+7.88860905221012E-31i</v>
      </c>
      <c r="V53" s="63">
        <f t="shared" si="24"/>
        <v>-137.06139047904253</v>
      </c>
      <c r="W53" s="63">
        <f t="shared" si="45"/>
        <v>109.08983404943042</v>
      </c>
      <c r="X53" s="63" t="str">
        <f t="shared" si="46"/>
        <v>720.445862368646-2556.21073953564i</v>
      </c>
      <c r="Y53" s="90" t="str">
        <f t="shared" si="47"/>
        <v>7.60415215263963E-10-2.34321626924226E-09i</v>
      </c>
      <c r="Z53" s="90" t="str">
        <f t="shared" si="48"/>
        <v>7.20445862368646E-11-2.55621073953564E-10i</v>
      </c>
      <c r="AA53" s="90" t="str">
        <f t="shared" si="49"/>
        <v>3.80207607631981E-10-1.17160813462113E-09i</v>
      </c>
      <c r="AB53" s="90" t="str">
        <f t="shared" si="25"/>
        <v>1.25947715815885E-14</v>
      </c>
      <c r="AC53" s="90">
        <f t="shared" si="26"/>
        <v>-138.99809704446554</v>
      </c>
      <c r="AD53" s="90" t="str">
        <f t="shared" si="50"/>
        <v>4.19628953121224E-15-1.97215226305253E-31i</v>
      </c>
      <c r="AE53" s="63">
        <f t="shared" si="27"/>
        <v>-143.7713455444659</v>
      </c>
      <c r="AF53" s="63" t="str">
        <f t="shared" si="28"/>
        <v>1.75862544873962E-18</v>
      </c>
      <c r="AG53" s="63">
        <f t="shared" si="29"/>
        <v>-177.54826646538308</v>
      </c>
      <c r="AH53" s="116">
        <f t="shared" si="53"/>
        <v>-175</v>
      </c>
      <c r="AI53" s="63" t="str">
        <f t="shared" si="51"/>
        <v>1.2201922809046E-14-1.23259516440783E-32i</v>
      </c>
      <c r="AJ53" s="63">
        <f t="shared" si="31"/>
        <v>-139.13571726738436</v>
      </c>
      <c r="AK53" s="63">
        <f t="shared" si="32"/>
        <v>-111.4325111278813</v>
      </c>
      <c r="AL53" s="49">
        <f t="shared" si="52"/>
        <v>1.5601789222954506E-8</v>
      </c>
      <c r="AM53" s="71">
        <f>AM52/(360*C11*1000000)*1000000000000</f>
        <v>0.11853312359227351</v>
      </c>
      <c r="AN53" t="s">
        <v>98</v>
      </c>
    </row>
    <row r="54" spans="1:40" x14ac:dyDescent="0.25">
      <c r="A54" s="49"/>
      <c r="B54" s="49"/>
      <c r="C54" s="49"/>
      <c r="D54" s="49"/>
      <c r="E54" s="68">
        <v>19.952623149688854</v>
      </c>
      <c r="F54" s="61" t="str">
        <f t="shared" si="19"/>
        <v>125366.028613816i</v>
      </c>
      <c r="G54" s="83" t="str">
        <f t="shared" si="34"/>
        <v>662.507459735259-2359.54802421089i</v>
      </c>
      <c r="H54" s="62" t="str">
        <f t="shared" si="35"/>
        <v>-21.9581497370865-6.16534940316323i</v>
      </c>
      <c r="I54" s="62" t="str">
        <f t="shared" si="36"/>
        <v>62.6348335223577-0.775100354195705i</v>
      </c>
      <c r="J54" s="89" t="str">
        <f t="shared" si="37"/>
        <v>157418.506282127-1948.03966282874i</v>
      </c>
      <c r="K54" s="89" t="str">
        <f t="shared" si="38"/>
        <v>18.1286187741338+61.6254297931467i</v>
      </c>
      <c r="L54" s="89" t="str">
        <f t="shared" si="39"/>
        <v>-0.0439138920392951+0.0129183392365952i</v>
      </c>
      <c r="M54" s="63">
        <f t="shared" si="20"/>
        <v>-152.02059991327963</v>
      </c>
      <c r="N54" s="63">
        <f t="shared" si="40"/>
        <v>-149.51029995663981</v>
      </c>
      <c r="O54" s="63" t="str">
        <f t="shared" si="41"/>
        <v>6.85604771589817E-12</v>
      </c>
      <c r="P54" s="63">
        <f t="shared" si="21"/>
        <v>-111.63926168523719</v>
      </c>
      <c r="Q54" s="63" t="str">
        <f t="shared" si="42"/>
        <v>2.74280482830106E-14-4.93038065763132E-32i</v>
      </c>
      <c r="R54" s="63">
        <f t="shared" si="22"/>
        <v>-135.61805094694972</v>
      </c>
      <c r="S54" s="63" t="str">
        <f t="shared" si="43"/>
        <v>7.80937485835718E-14</v>
      </c>
      <c r="T54" s="63">
        <f t="shared" si="23"/>
        <v>-131.07383730070489</v>
      </c>
      <c r="U54" s="63" t="str">
        <f t="shared" si="44"/>
        <v>2.4672000159783E-14+7.88860905221012E-31i</v>
      </c>
      <c r="V54" s="63">
        <f t="shared" si="24"/>
        <v>-136.07795640816522</v>
      </c>
      <c r="W54" s="63">
        <f t="shared" si="45"/>
        <v>109.08983404943042</v>
      </c>
      <c r="X54" s="63" t="str">
        <f t="shared" si="46"/>
        <v>720.379280467594-2281.36550068955i</v>
      </c>
      <c r="Y54" s="90" t="str">
        <f t="shared" si="47"/>
        <v>7.60354181253203E-10-2.09127231750653E-09i</v>
      </c>
      <c r="Z54" s="90" t="str">
        <f t="shared" si="48"/>
        <v>7.20379280467594E-11-2.28136550068955E-10i</v>
      </c>
      <c r="AA54" s="90" t="str">
        <f t="shared" si="49"/>
        <v>3.80177090626602E-10-1.04563615875327E-09i</v>
      </c>
      <c r="AB54" s="90" t="str">
        <f t="shared" si="25"/>
        <v>1.28879717746037E-14</v>
      </c>
      <c r="AC54" s="90">
        <f t="shared" si="26"/>
        <v>-138.89815423717585</v>
      </c>
      <c r="AD54" s="90" t="str">
        <f t="shared" si="50"/>
        <v>5.26318930592845E-15+1.97215226305253E-31i</v>
      </c>
      <c r="AE54" s="63">
        <f t="shared" si="27"/>
        <v>-142.78751009036196</v>
      </c>
      <c r="AF54" s="63" t="str">
        <f t="shared" si="28"/>
        <v>2.83428385925143E-18</v>
      </c>
      <c r="AG54" s="63">
        <f t="shared" si="29"/>
        <v>-175.47556656441054</v>
      </c>
      <c r="AH54" s="116">
        <f t="shared" si="53"/>
        <v>-175</v>
      </c>
      <c r="AI54" s="63" t="str">
        <f t="shared" si="51"/>
        <v>1.24079020648794E-14+2.46519032881566E-32i</v>
      </c>
      <c r="AJ54" s="63">
        <f t="shared" si="31"/>
        <v>-139.06301643051503</v>
      </c>
      <c r="AK54" s="63">
        <f t="shared" si="32"/>
        <v>-111.53860690920885</v>
      </c>
      <c r="AL54" s="49">
        <f t="shared" si="52"/>
        <v>1.7083027037134123E-8</v>
      </c>
      <c r="AM54" s="6">
        <f>10*LOG(0.5*AM51^2)</f>
        <v>-56.027490249600326</v>
      </c>
      <c r="AN54" t="s">
        <v>99</v>
      </c>
    </row>
    <row r="55" spans="1:40" x14ac:dyDescent="0.25">
      <c r="A55" s="49"/>
      <c r="B55" s="49"/>
      <c r="C55" s="49"/>
      <c r="D55" s="49"/>
      <c r="E55" s="68">
        <v>22.387211385683457</v>
      </c>
      <c r="F55" s="61" t="str">
        <f t="shared" si="19"/>
        <v>140662.99764725i</v>
      </c>
      <c r="G55" s="83" t="str">
        <f t="shared" si="34"/>
        <v>662.203564869878-2110.47777474871i</v>
      </c>
      <c r="H55" s="62" t="str">
        <f t="shared" si="35"/>
        <v>-17.504419155881-5.49235291870398i</v>
      </c>
      <c r="I55" s="62" t="str">
        <f t="shared" si="36"/>
        <v>63.2729352307412-1.08916982763886i</v>
      </c>
      <c r="J55" s="89" t="str">
        <f t="shared" si="37"/>
        <v>159022.230793567-2737.38234321753i</v>
      </c>
      <c r="K55" s="89" t="str">
        <f t="shared" si="38"/>
        <v>22.7040002500349+68.2251017347632i</v>
      </c>
      <c r="L55" s="89" t="str">
        <f t="shared" si="39"/>
        <v>-0.0545489205123538+0.0181528304606479i</v>
      </c>
      <c r="M55" s="63">
        <f t="shared" si="20"/>
        <v>-152.52059991327963</v>
      </c>
      <c r="N55" s="63">
        <f t="shared" si="40"/>
        <v>-149.51029995663981</v>
      </c>
      <c r="O55" s="63" t="str">
        <f t="shared" si="41"/>
        <v>6.72397200277097E-12</v>
      </c>
      <c r="P55" s="63">
        <f t="shared" si="21"/>
        <v>-111.72374103541222</v>
      </c>
      <c r="Q55" s="63" t="str">
        <f t="shared" si="42"/>
        <v>2.79937565511787E-14</v>
      </c>
      <c r="R55" s="63">
        <f t="shared" si="22"/>
        <v>-135.52938818576391</v>
      </c>
      <c r="S55" s="63" t="str">
        <f t="shared" si="43"/>
        <v>7.97044457359949E-14</v>
      </c>
      <c r="T55" s="63">
        <f t="shared" si="23"/>
        <v>-130.98517453951905</v>
      </c>
      <c r="U55" s="63" t="str">
        <f t="shared" si="44"/>
        <v>3.09094130553326E-14</v>
      </c>
      <c r="V55" s="63">
        <f t="shared" si="24"/>
        <v>-135.09909241758126</v>
      </c>
      <c r="W55" s="63">
        <f t="shared" si="45"/>
        <v>109.08983404943042</v>
      </c>
      <c r="X55" s="63" t="str">
        <f t="shared" si="46"/>
        <v>720.295476317347-2036.79186047486i</v>
      </c>
      <c r="Y55" s="90" t="str">
        <f t="shared" si="47"/>
        <v>7.60277360025105E-10-1.86707760463909E-09i</v>
      </c>
      <c r="Z55" s="90" t="str">
        <f t="shared" si="48"/>
        <v>7.20295476317347E-11-2.03679186047486E-10i</v>
      </c>
      <c r="AA55" s="90" t="str">
        <f t="shared" si="49"/>
        <v>3.80138680012553E-10-9.33538802319545E-10i</v>
      </c>
      <c r="AB55" s="90" t="str">
        <f t="shared" si="25"/>
        <v>1.32528013094183E-14</v>
      </c>
      <c r="AC55" s="90">
        <f t="shared" si="26"/>
        <v>-138.77692313075494</v>
      </c>
      <c r="AD55" s="90" t="str">
        <f t="shared" si="50"/>
        <v>6.59456139550048E-15</v>
      </c>
      <c r="AE55" s="63">
        <f t="shared" si="27"/>
        <v>-141.80814084097642</v>
      </c>
      <c r="AF55" s="63" t="str">
        <f t="shared" si="28"/>
        <v>4.58468499893996E-18</v>
      </c>
      <c r="AG55" s="63">
        <f t="shared" si="29"/>
        <v>-173.38690498144831</v>
      </c>
      <c r="AH55" s="116">
        <f t="shared" si="53"/>
        <v>-175</v>
      </c>
      <c r="AI55" s="63" t="str">
        <f t="shared" si="51"/>
        <v>1.2663817203875E-14</v>
      </c>
      <c r="AJ55" s="63">
        <f t="shared" si="31"/>
        <v>-138.97435366932922</v>
      </c>
      <c r="AK55" s="63">
        <f t="shared" si="32"/>
        <v>-111.61459721671319</v>
      </c>
      <c r="AL55" s="49">
        <f t="shared" si="52"/>
        <v>1.8835007500750399E-8</v>
      </c>
    </row>
    <row r="56" spans="1:40" x14ac:dyDescent="0.25">
      <c r="A56" s="49"/>
      <c r="B56" s="49"/>
      <c r="C56" s="49"/>
      <c r="D56" s="49"/>
      <c r="E56" s="68">
        <v>25.118864315095877</v>
      </c>
      <c r="F56" s="61" t="str">
        <f t="shared" si="19"/>
        <v>157826.479197648i</v>
      </c>
      <c r="G56" s="83" t="str">
        <f t="shared" si="34"/>
        <v>661.821194668583-1889.40664548218i</v>
      </c>
      <c r="H56" s="62" t="str">
        <f t="shared" si="35"/>
        <v>-13.9666535315793-4.89223817852773i</v>
      </c>
      <c r="I56" s="62" t="str">
        <f t="shared" si="36"/>
        <v>64.0506425542391-1.52828238243239i</v>
      </c>
      <c r="J56" s="89" t="str">
        <f t="shared" si="37"/>
        <v>160976.822484882-3840.99256420806i</v>
      </c>
      <c r="K56" s="89" t="str">
        <f t="shared" si="38"/>
        <v>28.3929415035911+75.2541928222839i</v>
      </c>
      <c r="L56" s="89" t="str">
        <f t="shared" si="39"/>
        <v>-0.0675107092373217+0.0254713730405414i</v>
      </c>
      <c r="M56" s="63">
        <f t="shared" si="20"/>
        <v>-153.02059991327963</v>
      </c>
      <c r="N56" s="63">
        <f t="shared" si="40"/>
        <v>-149.51029995663981</v>
      </c>
      <c r="O56" s="63" t="str">
        <f t="shared" si="41"/>
        <v>6.64232255812034E-12</v>
      </c>
      <c r="P56" s="63">
        <f t="shared" si="21"/>
        <v>-111.77680038431947</v>
      </c>
      <c r="Q56" s="63" t="str">
        <f t="shared" si="42"/>
        <v>2.8693974932003E-14+9.86076131526265E-32i</v>
      </c>
      <c r="R56" s="63">
        <f t="shared" si="22"/>
        <v>-135.42209285443124</v>
      </c>
      <c r="S56" s="63" t="str">
        <f t="shared" si="43"/>
        <v>8.16981230702863E-14</v>
      </c>
      <c r="T56" s="63">
        <f t="shared" si="23"/>
        <v>-130.87787920818639</v>
      </c>
      <c r="U56" s="63" t="str">
        <f t="shared" si="44"/>
        <v>3.86710537389513E-14-1.57772181044202E-30i</v>
      </c>
      <c r="V56" s="63">
        <f t="shared" si="24"/>
        <v>-134.12613993771856</v>
      </c>
      <c r="W56" s="63">
        <f t="shared" si="45"/>
        <v>109.08983404943042</v>
      </c>
      <c r="X56" s="63" t="str">
        <f t="shared" si="46"/>
        <v>720.190000863939-1819.24417223332i</v>
      </c>
      <c r="Y56" s="90" t="str">
        <f t="shared" si="47"/>
        <v>7.6018067324001E-10-1.66765692521724E-09i</v>
      </c>
      <c r="Z56" s="90" t="str">
        <f t="shared" si="48"/>
        <v>7.20190000863939E-11-1.81924417223332E-10i</v>
      </c>
      <c r="AA56" s="90" t="str">
        <f t="shared" si="49"/>
        <v>3.80090336620005E-10-8.3382846260862E-10i</v>
      </c>
      <c r="AB56" s="90" t="str">
        <f t="shared" si="25"/>
        <v>1.37052462308738E-14+7.88860905221012E-31i</v>
      </c>
      <c r="AC56" s="90">
        <f t="shared" si="26"/>
        <v>-138.63113157443041</v>
      </c>
      <c r="AD56" s="90" t="str">
        <f t="shared" si="50"/>
        <v>8.25172533744872E-15</v>
      </c>
      <c r="AE56" s="63">
        <f t="shared" si="27"/>
        <v>-140.83455236154001</v>
      </c>
      <c r="AF56" s="63" t="str">
        <f t="shared" si="28"/>
        <v>7.4479866007409E-18</v>
      </c>
      <c r="AG56" s="63">
        <f t="shared" si="29"/>
        <v>-171.27961113341098</v>
      </c>
      <c r="AH56" s="116">
        <f t="shared" si="53"/>
        <v>-175</v>
      </c>
      <c r="AI56" s="63" t="str">
        <f t="shared" si="51"/>
        <v>1.29805820353953E-14</v>
      </c>
      <c r="AJ56" s="63">
        <f t="shared" si="31"/>
        <v>-138.8670583379965</v>
      </c>
      <c r="AK56" s="63">
        <f t="shared" si="32"/>
        <v>-111.65812675524195</v>
      </c>
      <c r="AL56" s="49">
        <f t="shared" si="52"/>
        <v>2.0922464692292104E-8</v>
      </c>
    </row>
    <row r="57" spans="1:40" x14ac:dyDescent="0.25">
      <c r="A57" s="49"/>
      <c r="B57" s="49"/>
      <c r="C57" s="49"/>
      <c r="D57" s="49"/>
      <c r="E57" s="68">
        <v>28.183829312644626</v>
      </c>
      <c r="F57" s="61" t="str">
        <f t="shared" si="19"/>
        <v>177084.222237266i</v>
      </c>
      <c r="G57" s="83" t="str">
        <f t="shared" si="34"/>
        <v>661.340152887641-1693.39883779976i</v>
      </c>
      <c r="H57" s="62" t="str">
        <f t="shared" si="35"/>
        <v>-11.1564539882385-4.35704266565583i</v>
      </c>
      <c r="I57" s="62" t="str">
        <f t="shared" si="36"/>
        <v>64.9893590909643-2.14039766820027i</v>
      </c>
      <c r="J57" s="89" t="str">
        <f t="shared" si="37"/>
        <v>163336.074465346-5379.40607214288i</v>
      </c>
      <c r="K57" s="89" t="str">
        <f t="shared" si="38"/>
        <v>35.4406150448849+82.6135990945286i</v>
      </c>
      <c r="L57" s="89" t="str">
        <f t="shared" si="39"/>
        <v>-0.0831559848494087+0.0356732944700065i</v>
      </c>
      <c r="M57" s="63">
        <f t="shared" si="20"/>
        <v>-153.52059991327963</v>
      </c>
      <c r="N57" s="63">
        <f t="shared" si="40"/>
        <v>-149.51029995663981</v>
      </c>
      <c r="O57" s="63" t="str">
        <f t="shared" si="41"/>
        <v>6.61260763363271E-12</v>
      </c>
      <c r="P57" s="63">
        <f t="shared" si="21"/>
        <v>-111.7962724587361</v>
      </c>
      <c r="Q57" s="63" t="str">
        <f t="shared" si="42"/>
        <v>2.95564230961248E-14-1.97215226305253E-31i</v>
      </c>
      <c r="R57" s="63">
        <f t="shared" si="22"/>
        <v>-135.29348125203097</v>
      </c>
      <c r="S57" s="63" t="str">
        <f t="shared" si="43"/>
        <v>8.41537046486886E-14</v>
      </c>
      <c r="T57" s="63">
        <f t="shared" si="23"/>
        <v>-130.74926760578612</v>
      </c>
      <c r="U57" s="63" t="str">
        <f t="shared" si="44"/>
        <v>4.82961591629601E-14+3.15544362088405E-30i</v>
      </c>
      <c r="V57" s="63">
        <f t="shared" si="24"/>
        <v>-133.16087405908075</v>
      </c>
      <c r="W57" s="63">
        <f t="shared" si="45"/>
        <v>109.08983404943042</v>
      </c>
      <c r="X57" s="63" t="str">
        <f t="shared" si="46"/>
        <v>720.057259050431-1625.83528253791i</v>
      </c>
      <c r="Y57" s="90" t="str">
        <f t="shared" si="47"/>
        <v>7.60058992045181E-10-1.490363695852E-09i</v>
      </c>
      <c r="Z57" s="90" t="str">
        <f t="shared" si="48"/>
        <v>7.20057259050431E-11-1.62583528253791E-10i</v>
      </c>
      <c r="AA57" s="90" t="str">
        <f t="shared" si="49"/>
        <v>3.80029496022591E-10-7.45181847926E-10i</v>
      </c>
      <c r="AB57" s="90" t="str">
        <f t="shared" si="25"/>
        <v>1.42638920910876E-14</v>
      </c>
      <c r="AC57" s="90">
        <f t="shared" si="26"/>
        <v>-138.45761955336241</v>
      </c>
      <c r="AD57" s="90" t="str">
        <f t="shared" si="50"/>
        <v>1.0307454017999E-14</v>
      </c>
      <c r="AE57" s="63">
        <f t="shared" si="27"/>
        <v>-139.86848593928869</v>
      </c>
      <c r="AF57" s="63" t="str">
        <f t="shared" si="28"/>
        <v>1.2159056042038E-17</v>
      </c>
      <c r="AG57" s="63">
        <f t="shared" si="29"/>
        <v>-169.15100139836881</v>
      </c>
      <c r="AH57" s="116">
        <f t="shared" si="53"/>
        <v>-175</v>
      </c>
      <c r="AI57" s="63" t="str">
        <f t="shared" si="51"/>
        <v>1.33707363856442E-14</v>
      </c>
      <c r="AJ57" s="63">
        <f t="shared" si="31"/>
        <v>-138.73844673559628</v>
      </c>
      <c r="AK57" s="63">
        <f t="shared" si="32"/>
        <v>-111.66689139427666</v>
      </c>
      <c r="AL57" s="49">
        <f t="shared" si="52"/>
        <v>2.3428062812418922E-8</v>
      </c>
    </row>
    <row r="58" spans="1:40" x14ac:dyDescent="0.25">
      <c r="A58" s="49"/>
      <c r="B58" s="49"/>
      <c r="C58" s="49"/>
      <c r="D58" s="49"/>
      <c r="E58" s="68">
        <v>31.622776601683899</v>
      </c>
      <c r="F58" s="61" t="str">
        <f t="shared" si="19"/>
        <v>198691.765315923i</v>
      </c>
      <c r="G58" s="83" t="str">
        <f t="shared" si="34"/>
        <v>660.735085653595-1519.85017664212i</v>
      </c>
      <c r="H58" s="62" t="str">
        <f t="shared" si="35"/>
        <v>-8.92416722251398-3.8796655649192i</v>
      </c>
      <c r="I58" s="62" t="str">
        <f t="shared" si="36"/>
        <v>66.1077105758527-2.99032992821056i</v>
      </c>
      <c r="J58" s="89" t="str">
        <f t="shared" si="37"/>
        <v>166146.798312592-7515.51882742106i</v>
      </c>
      <c r="K58" s="89" t="str">
        <f t="shared" si="38"/>
        <v>44.1291831330612+90.1332913077014i</v>
      </c>
      <c r="L58" s="89" t="str">
        <f t="shared" si="39"/>
        <v>-0.101795176264212+0.0498388321368426i</v>
      </c>
      <c r="M58" s="63">
        <f t="shared" si="20"/>
        <v>-154.02059991327963</v>
      </c>
      <c r="N58" s="63">
        <f t="shared" si="40"/>
        <v>-149.51029995663981</v>
      </c>
      <c r="O58" s="63" t="str">
        <f t="shared" si="41"/>
        <v>6.63700163350858E-12</v>
      </c>
      <c r="P58" s="63">
        <f t="shared" si="21"/>
        <v>-111.78028075468748</v>
      </c>
      <c r="Q58" s="63" t="str">
        <f t="shared" si="42"/>
        <v>3.0611774051466E-14</v>
      </c>
      <c r="R58" s="63">
        <f t="shared" si="22"/>
        <v>-135.14111500901311</v>
      </c>
      <c r="S58" s="63" t="str">
        <f t="shared" si="43"/>
        <v>8.71585233409795E-14+7.88860905221012E-31i</v>
      </c>
      <c r="T58" s="63">
        <f t="shared" si="23"/>
        <v>-130.59690136276825</v>
      </c>
      <c r="U58" s="63" t="str">
        <f t="shared" si="44"/>
        <v>6.01774794755452E-14-3.15544362088405E-30i</v>
      </c>
      <c r="V58" s="63">
        <f t="shared" si="24"/>
        <v>-132.20566006572452</v>
      </c>
      <c r="W58" s="63">
        <f t="shared" si="45"/>
        <v>109.08983404943042</v>
      </c>
      <c r="X58" s="63" t="str">
        <f t="shared" si="46"/>
        <v>719.890216569791-1453.99816918743i</v>
      </c>
      <c r="Y58" s="90" t="str">
        <f t="shared" si="47"/>
        <v>7.59905868262295E-10-1.33284478966995E-09i</v>
      </c>
      <c r="Z58" s="90" t="str">
        <f t="shared" si="48"/>
        <v>7.19890216569791E-11-1.45399816918743E-10i</v>
      </c>
      <c r="AA58" s="90" t="str">
        <f t="shared" si="49"/>
        <v>3.79952934131147E-10-6.66422394834975E-10i</v>
      </c>
      <c r="AB58" s="90" t="str">
        <f t="shared" si="25"/>
        <v>1.49496702018985E-14+7.88860905221012E-31i</v>
      </c>
      <c r="AC58" s="90">
        <f t="shared" si="26"/>
        <v>-138.25368388013496</v>
      </c>
      <c r="AD58" s="90" t="str">
        <f t="shared" si="50"/>
        <v>1.28461670994262E-14</v>
      </c>
      <c r="AE58" s="63">
        <f t="shared" si="27"/>
        <v>-138.91226433101403</v>
      </c>
      <c r="AF58" s="63" t="str">
        <f t="shared" si="28"/>
        <v>1.99588837841143E-17+1.92592994438724E-34i</v>
      </c>
      <c r="AG58" s="63">
        <f t="shared" si="29"/>
        <v>-166.99863750621543</v>
      </c>
      <c r="AH58" s="116">
        <f t="shared" si="53"/>
        <v>-175</v>
      </c>
      <c r="AI58" s="63" t="str">
        <f t="shared" si="51"/>
        <v>1.38481561117156E-14-9.86076131526265E-32i</v>
      </c>
      <c r="AJ58" s="63">
        <f t="shared" si="31"/>
        <v>-138.58608049257845</v>
      </c>
      <c r="AK58" s="63">
        <f t="shared" si="32"/>
        <v>-111.6389033926025</v>
      </c>
      <c r="AL58" s="49">
        <f t="shared" si="52"/>
        <v>2.6456669975496479E-8</v>
      </c>
    </row>
    <row r="59" spans="1:40" x14ac:dyDescent="0.25">
      <c r="A59" s="49"/>
      <c r="B59" s="49"/>
      <c r="C59" s="49"/>
      <c r="D59" s="49"/>
      <c r="E59" s="68">
        <v>35.481338923357669</v>
      </c>
      <c r="F59" s="61" t="str">
        <f t="shared" si="19"/>
        <v>222935.8274023i</v>
      </c>
      <c r="G59" s="83" t="str">
        <f t="shared" si="34"/>
        <v>659.974187695972-1366.4531661782i</v>
      </c>
      <c r="H59" s="62" t="str">
        <f t="shared" si="35"/>
        <v>-7.15091593449635-3.45377364696007i</v>
      </c>
      <c r="I59" s="62" t="str">
        <f t="shared" si="36"/>
        <v>67.4163536130035-4.16432397026838i</v>
      </c>
      <c r="J59" s="89" t="str">
        <f t="shared" si="37"/>
        <v>169435.776993939-10466.0876737304i</v>
      </c>
      <c r="K59" s="89" t="str">
        <f t="shared" si="38"/>
        <v>54.7710781242787+97.5432473638493i</v>
      </c>
      <c r="L59" s="89" t="str">
        <f t="shared" si="39"/>
        <v>-0.123605893550059+0.0694053995044726i</v>
      </c>
      <c r="M59" s="63">
        <f t="shared" si="20"/>
        <v>-154.52059991327963</v>
      </c>
      <c r="N59" s="63">
        <f t="shared" si="40"/>
        <v>-149.51029995663981</v>
      </c>
      <c r="O59" s="63" t="str">
        <f t="shared" si="41"/>
        <v>6.71797305403906E-12-5.04870979341448E-29i</v>
      </c>
      <c r="P59" s="63">
        <f t="shared" si="21"/>
        <v>-111.72761742457084</v>
      </c>
      <c r="Q59" s="63" t="str">
        <f t="shared" si="42"/>
        <v>3.18919438118523E-14</v>
      </c>
      <c r="R59" s="63">
        <f t="shared" si="22"/>
        <v>-134.96319009730567</v>
      </c>
      <c r="S59" s="63" t="str">
        <f t="shared" si="43"/>
        <v>9.08034511309685E-14-7.88860905221012E-31i</v>
      </c>
      <c r="T59" s="63">
        <f t="shared" si="23"/>
        <v>-130.41897645106081</v>
      </c>
      <c r="U59" s="63" t="str">
        <f t="shared" si="44"/>
        <v>7.47537520217522E-14+6.31088724176809E-30i</v>
      </c>
      <c r="V59" s="63">
        <f t="shared" si="24"/>
        <v>-131.26367004455719</v>
      </c>
      <c r="W59" s="63">
        <f t="shared" si="45"/>
        <v>109.08983404943042</v>
      </c>
      <c r="X59" s="63" t="str">
        <f t="shared" si="46"/>
        <v>719.680032715701-1301.451806185i</v>
      </c>
      <c r="Y59" s="90" t="str">
        <f t="shared" si="47"/>
        <v>7.597131978307E-10-1.19300924556846E-09i</v>
      </c>
      <c r="Z59" s="90" t="str">
        <f t="shared" si="48"/>
        <v>7.19680032715701E-11-1.301451806185E-10i</v>
      </c>
      <c r="AA59" s="90" t="str">
        <f t="shared" si="49"/>
        <v>3.7985659891535E-10-5.9650462278423E-10i</v>
      </c>
      <c r="AB59" s="90" t="str">
        <f t="shared" si="25"/>
        <v>1.57849923434135E-14+7.88860905221012E-31i</v>
      </c>
      <c r="AC59" s="90">
        <f t="shared" si="26"/>
        <v>-138.01755624428341</v>
      </c>
      <c r="AD59" s="90" t="str">
        <f t="shared" si="50"/>
        <v>1.59624440117103E-14</v>
      </c>
      <c r="AE59" s="63">
        <f t="shared" si="27"/>
        <v>-137.96900613014225</v>
      </c>
      <c r="AF59" s="63" t="str">
        <f t="shared" si="28"/>
        <v>3.29555409359345E-17</v>
      </c>
      <c r="AG59" s="63">
        <f t="shared" si="29"/>
        <v>-164.82071555407106</v>
      </c>
      <c r="AH59" s="116">
        <f t="shared" si="53"/>
        <v>-175</v>
      </c>
      <c r="AI59" s="63" t="str">
        <f t="shared" si="51"/>
        <v>1.44272793817857E-14</v>
      </c>
      <c r="AJ59" s="63">
        <f t="shared" si="31"/>
        <v>-138.40815558087098</v>
      </c>
      <c r="AK59" s="63">
        <f t="shared" si="32"/>
        <v>-111.57289070494249</v>
      </c>
      <c r="AL59" s="49">
        <f t="shared" si="52"/>
        <v>3.0139528132078958E-8</v>
      </c>
    </row>
    <row r="60" spans="1:40" x14ac:dyDescent="0.25">
      <c r="A60" s="49"/>
      <c r="B60" s="49"/>
      <c r="C60" s="49"/>
      <c r="D60" s="49"/>
      <c r="E60" s="68">
        <v>39.810717055349862</v>
      </c>
      <c r="F60" s="61" t="str">
        <f t="shared" si="19"/>
        <v>250138.112470458i</v>
      </c>
      <c r="G60" s="83" t="str">
        <f t="shared" si="34"/>
        <v>659.017597710604-1231.16582507507i</v>
      </c>
      <c r="H60" s="62" t="str">
        <f t="shared" si="35"/>
        <v>-5.74226820162755-3.0737173811788i</v>
      </c>
      <c r="I60" s="62" t="str">
        <f t="shared" si="36"/>
        <v>68.9093359437952-5.77461661400883i</v>
      </c>
      <c r="J60" s="89" t="str">
        <f t="shared" si="37"/>
        <v>173188.050851823-14513.194505494i</v>
      </c>
      <c r="K60" s="89" t="str">
        <f t="shared" si="38"/>
        <v>67.6908452261931+104.436453664571i</v>
      </c>
      <c r="L60" s="89" t="str">
        <f t="shared" si="39"/>
        <v>-0.148488932396586+0.0962436102334805i</v>
      </c>
      <c r="M60" s="63">
        <f t="shared" si="20"/>
        <v>-155.02059991327963</v>
      </c>
      <c r="N60" s="63">
        <f t="shared" si="40"/>
        <v>-149.51029995663981</v>
      </c>
      <c r="O60" s="63" t="str">
        <f t="shared" si="41"/>
        <v>6.85760210024621E-12</v>
      </c>
      <c r="P60" s="63">
        <f t="shared" si="21"/>
        <v>-111.63827717628875</v>
      </c>
      <c r="Q60" s="63" t="str">
        <f t="shared" si="42"/>
        <v>3.34265720416861E-14</v>
      </c>
      <c r="R60" s="63">
        <f t="shared" si="22"/>
        <v>-134.75908158846079</v>
      </c>
      <c r="S60" s="63" t="str">
        <f t="shared" si="43"/>
        <v>9.51728787298007E-14</v>
      </c>
      <c r="T60" s="63">
        <f t="shared" si="23"/>
        <v>-130.21486794221596</v>
      </c>
      <c r="U60" s="63" t="str">
        <f t="shared" si="44"/>
        <v>9.24872740863643E-14</v>
      </c>
      <c r="V60" s="63">
        <f t="shared" si="24"/>
        <v>-130.33918020496483</v>
      </c>
      <c r="W60" s="63">
        <f t="shared" si="45"/>
        <v>109.08983404943042</v>
      </c>
      <c r="X60" s="63" t="str">
        <f t="shared" si="46"/>
        <v>719.41560137214-1166.17079423519i</v>
      </c>
      <c r="Y60" s="90" t="str">
        <f t="shared" si="47"/>
        <v>7.59470800043715E-10-1.06900042923044E-09i</v>
      </c>
      <c r="Z60" s="90" t="str">
        <f t="shared" si="48"/>
        <v>7.1941560137214E-11-1.16617079423519E-10i</v>
      </c>
      <c r="AA60" s="90" t="str">
        <f t="shared" si="49"/>
        <v>3.79735400021857E-10-5.3450021461522E-10i</v>
      </c>
      <c r="AB60" s="90" t="str">
        <f t="shared" si="25"/>
        <v>1.67918237137259E-14</v>
      </c>
      <c r="AC60" s="90">
        <f t="shared" si="26"/>
        <v>-137.74902133772844</v>
      </c>
      <c r="AD60" s="90" t="str">
        <f t="shared" si="50"/>
        <v>1.97564073743222E-14+1.57772181044202E-30i</v>
      </c>
      <c r="AE60" s="63">
        <f t="shared" si="27"/>
        <v>-137.04292027327449</v>
      </c>
      <c r="AF60" s="63" t="str">
        <f t="shared" si="28"/>
        <v>5.47443020108154E-17</v>
      </c>
      <c r="AG60" s="63">
        <f t="shared" si="29"/>
        <v>-162.61661077109568</v>
      </c>
      <c r="AH60" s="116">
        <f t="shared" si="53"/>
        <v>-175</v>
      </c>
      <c r="AI60" s="63" t="str">
        <f t="shared" si="51"/>
        <v>1.51215145889466E-14</v>
      </c>
      <c r="AJ60" s="63">
        <f t="shared" si="31"/>
        <v>-138.20404707202613</v>
      </c>
      <c r="AK60" s="63">
        <f t="shared" si="32"/>
        <v>-111.46885295497731</v>
      </c>
      <c r="AL60" s="49">
        <f t="shared" si="52"/>
        <v>3.4636996335765931E-8</v>
      </c>
    </row>
    <row r="61" spans="1:40" x14ac:dyDescent="0.25">
      <c r="A61" s="49"/>
      <c r="B61" s="49"/>
      <c r="C61" s="49"/>
      <c r="D61" s="49"/>
      <c r="E61" s="68">
        <v>44.668359215096466</v>
      </c>
      <c r="F61" s="61" t="str">
        <f t="shared" si="19"/>
        <v>280659.578316114i</v>
      </c>
      <c r="G61" s="83" t="str">
        <f t="shared" si="34"/>
        <v>657.815416217405-1112.18382538727i</v>
      </c>
      <c r="H61" s="62" t="str">
        <f t="shared" si="35"/>
        <v>-4.62320867176565-2.73445618184427i</v>
      </c>
      <c r="I61" s="62" t="str">
        <f t="shared" si="36"/>
        <v>70.5505296305843-7.96254468998707i</v>
      </c>
      <c r="J61" s="89" t="str">
        <f t="shared" si="37"/>
        <v>177312.82047545-20012.0575215545i</v>
      </c>
      <c r="K61" s="89" t="str">
        <f t="shared" si="38"/>
        <v>83.187613199922+110.22523729971i</v>
      </c>
      <c r="L61" s="89" t="str">
        <f t="shared" si="39"/>
        <v>-0.175842160509739+0.132709078166451i</v>
      </c>
      <c r="M61" s="63">
        <f t="shared" si="20"/>
        <v>-155.52059991327963</v>
      </c>
      <c r="N61" s="63">
        <f t="shared" si="40"/>
        <v>-149.51029995663981</v>
      </c>
      <c r="O61" s="63" t="str">
        <f t="shared" si="41"/>
        <v>7.05641150527744E-12</v>
      </c>
      <c r="P61" s="63">
        <f t="shared" si="21"/>
        <v>-111.51416100600137</v>
      </c>
      <c r="Q61" s="63" t="str">
        <f t="shared" si="42"/>
        <v>3.52366194180004E-14-7.88860905221012E-31i</v>
      </c>
      <c r="R61" s="63">
        <f t="shared" si="22"/>
        <v>-134.53005764236534</v>
      </c>
      <c r="S61" s="63" t="str">
        <f t="shared" si="43"/>
        <v>1.00326485842918E-13</v>
      </c>
      <c r="T61" s="63">
        <f t="shared" si="23"/>
        <v>-129.98584399612048</v>
      </c>
      <c r="U61" s="63" t="str">
        <f t="shared" si="44"/>
        <v>1.13815871333828E-13</v>
      </c>
      <c r="V61" s="63">
        <f t="shared" si="24"/>
        <v>-129.43797172456891</v>
      </c>
      <c r="W61" s="63">
        <f t="shared" si="45"/>
        <v>109.08983404943042</v>
      </c>
      <c r="X61" s="63" t="str">
        <f t="shared" si="46"/>
        <v>719.082978211025-1046.35834185199i</v>
      </c>
      <c r="Y61" s="90" t="str">
        <f t="shared" si="47"/>
        <v>7.59165892474634E-10-9.59171265562534E-10i</v>
      </c>
      <c r="Z61" s="90" t="str">
        <f t="shared" si="48"/>
        <v>7.19082978211025E-11-1.04635834185199E-10i</v>
      </c>
      <c r="AA61" s="90" t="str">
        <f t="shared" si="49"/>
        <v>3.79582946237317E-10-4.79585632781267E-10i</v>
      </c>
      <c r="AB61" s="90" t="str">
        <f t="shared" si="25"/>
        <v>1.79880239698672E-14</v>
      </c>
      <c r="AC61" s="90">
        <f t="shared" si="26"/>
        <v>-137.45016542386389</v>
      </c>
      <c r="AD61" s="90" t="str">
        <f t="shared" si="50"/>
        <v>2.43237014383638E-14-1.57772181044202E-30i</v>
      </c>
      <c r="AE61" s="63">
        <f t="shared" si="27"/>
        <v>-136.13970335980747</v>
      </c>
      <c r="AF61" s="63" t="str">
        <f t="shared" si="28"/>
        <v>9.14620325528712E-17</v>
      </c>
      <c r="AG61" s="63">
        <f t="shared" si="29"/>
        <v>-160.38759151559233</v>
      </c>
      <c r="AH61" s="116">
        <f t="shared" si="53"/>
        <v>-175</v>
      </c>
      <c r="AI61" s="63" t="str">
        <f t="shared" si="51"/>
        <v>1.59403439254843E-14</v>
      </c>
      <c r="AJ61" s="63">
        <f t="shared" si="31"/>
        <v>-137.97502312593065</v>
      </c>
      <c r="AK61" s="63">
        <f t="shared" si="32"/>
        <v>-111.32878316762213</v>
      </c>
      <c r="AL61" s="49">
        <f t="shared" si="52"/>
        <v>4.0137212004104264E-8</v>
      </c>
    </row>
    <row r="62" spans="1:40" x14ac:dyDescent="0.25">
      <c r="A62" s="49"/>
      <c r="B62" s="49"/>
      <c r="C62" s="49"/>
      <c r="D62" s="49"/>
      <c r="E62" s="68">
        <v>50.118723362727401</v>
      </c>
      <c r="F62" s="61" t="str">
        <f t="shared" si="19"/>
        <v>314905.226247287i</v>
      </c>
      <c r="G62" s="83" t="str">
        <f t="shared" si="34"/>
        <v>656.305269878863-1007.91547900563i</v>
      </c>
      <c r="H62" s="62" t="str">
        <f t="shared" si="35"/>
        <v>-3.73414378092865-2.43149181945957i</v>
      </c>
      <c r="I62" s="62" t="str">
        <f t="shared" si="36"/>
        <v>72.2536874900041-10.8972838582905i</v>
      </c>
      <c r="J62" s="89" t="str">
        <f t="shared" si="37"/>
        <v>181593.323050695-27387.8615306305i</v>
      </c>
      <c r="K62" s="89" t="str">
        <f t="shared" si="38"/>
        <v>101.467052483839+114.096830718317i</v>
      </c>
      <c r="L62" s="89" t="str">
        <f t="shared" si="39"/>
        <v>-0.204228124833402+0.181621397638174i</v>
      </c>
      <c r="M62" s="63">
        <f t="shared" si="20"/>
        <v>-156.02059991327965</v>
      </c>
      <c r="N62" s="63">
        <f t="shared" si="40"/>
        <v>-149.51029995663981</v>
      </c>
      <c r="O62" s="63" t="str">
        <f t="shared" si="41"/>
        <v>7.31149008547444E-12-2.01948391736579E-28i</v>
      </c>
      <c r="P62" s="63">
        <f t="shared" si="21"/>
        <v>-111.35994104580946</v>
      </c>
      <c r="Q62" s="63" t="str">
        <f t="shared" si="42"/>
        <v>3.7323694462302E-14+7.88860905221012E-31i</v>
      </c>
      <c r="R62" s="63">
        <f t="shared" si="22"/>
        <v>-134.28015374433059</v>
      </c>
      <c r="S62" s="63" t="str">
        <f t="shared" si="43"/>
        <v>1.06268852288499E-13+3.15544362088405E-30i</v>
      </c>
      <c r="T62" s="63">
        <f t="shared" si="23"/>
        <v>-129.73594009808573</v>
      </c>
      <c r="U62" s="63" t="str">
        <f t="shared" si="44"/>
        <v>1.39063978307039E-13-1.26217744835362E-29i</v>
      </c>
      <c r="V62" s="63">
        <f t="shared" si="24"/>
        <v>-128.56785350586239</v>
      </c>
      <c r="W62" s="63">
        <f t="shared" si="45"/>
        <v>109.08983404943042</v>
      </c>
      <c r="X62" s="63" t="str">
        <f t="shared" si="46"/>
        <v>718.664667554395-940.422221893888i</v>
      </c>
      <c r="Y62" s="90" t="str">
        <f t="shared" si="47"/>
        <v>7.58782437260612E-10-8.62062198635087E-10i</v>
      </c>
      <c r="Z62" s="90" t="str">
        <f t="shared" si="48"/>
        <v>7.18664667554395E-11-9.40422221893888E-11i</v>
      </c>
      <c r="AA62" s="90" t="str">
        <f t="shared" si="49"/>
        <v>3.79391218630306E-10-4.31031099317543E-10i</v>
      </c>
      <c r="AB62" s="90" t="str">
        <f t="shared" si="25"/>
        <v>1.93810594681423E-14</v>
      </c>
      <c r="AC62" s="90">
        <f t="shared" si="26"/>
        <v>-137.12622485871867</v>
      </c>
      <c r="AD62" s="90" t="str">
        <f t="shared" si="50"/>
        <v>2.97367978567888E-14</v>
      </c>
      <c r="AE62" s="63">
        <f t="shared" si="27"/>
        <v>-135.26705799364839</v>
      </c>
      <c r="AF62" s="63" t="str">
        <f t="shared" si="28"/>
        <v>1.53543221290458E-16-3.08148791101958E-33i</v>
      </c>
      <c r="AG62" s="63">
        <f t="shared" si="29"/>
        <v>-158.13769352266391</v>
      </c>
      <c r="AH62" s="116">
        <f t="shared" si="53"/>
        <v>-175</v>
      </c>
      <c r="AI62" s="63" t="str">
        <f t="shared" si="51"/>
        <v>1.68844950544508E-14-3.94430452610506E-31i</v>
      </c>
      <c r="AJ62" s="63">
        <f t="shared" si="31"/>
        <v>-137.72511922789585</v>
      </c>
      <c r="AK62" s="63">
        <f t="shared" si="32"/>
        <v>-111.15754079695046</v>
      </c>
      <c r="AL62" s="49">
        <f t="shared" si="52"/>
        <v>4.6845884086092367E-8</v>
      </c>
    </row>
    <row r="63" spans="1:40" x14ac:dyDescent="0.25">
      <c r="A63" s="49"/>
      <c r="B63" s="49"/>
      <c r="C63" s="49"/>
      <c r="D63" s="49"/>
      <c r="E63" s="68">
        <v>56.234132519035121</v>
      </c>
      <c r="F63" s="61" t="str">
        <f t="shared" si="19"/>
        <v>353329.475205591i</v>
      </c>
      <c r="G63" s="83" t="str">
        <f t="shared" si="34"/>
        <v>654.409338767875-916.959120989098i</v>
      </c>
      <c r="H63" s="62" t="str">
        <f t="shared" si="35"/>
        <v>-3.0277282712728-2.16080914690633i</v>
      </c>
      <c r="I63" s="62" t="str">
        <f t="shared" si="36"/>
        <v>73.8556850807335-14.7650409984714i</v>
      </c>
      <c r="J63" s="89" t="str">
        <f t="shared" si="37"/>
        <v>185619.582140379-37108.5954645995i</v>
      </c>
      <c r="K63" s="89" t="str">
        <f t="shared" si="38"/>
        <v>122.529719181157+114.983304291575i</v>
      </c>
      <c r="L63" s="89" t="str">
        <f t="shared" si="39"/>
        <v>-0.230928084678891+0.24608401664119i</v>
      </c>
      <c r="M63" s="63">
        <f t="shared" si="20"/>
        <v>-156.52059991327963</v>
      </c>
      <c r="N63" s="63">
        <f t="shared" si="40"/>
        <v>-149.51029995663981</v>
      </c>
      <c r="O63" s="63" t="str">
        <f t="shared" si="41"/>
        <v>7.61370442938023E-12</v>
      </c>
      <c r="P63" s="63">
        <f t="shared" si="21"/>
        <v>-111.18403986883453</v>
      </c>
      <c r="Q63" s="63" t="str">
        <f t="shared" si="42"/>
        <v>3.96537226919988E-14</v>
      </c>
      <c r="R63" s="63">
        <f t="shared" si="22"/>
        <v>-134.01716034860866</v>
      </c>
      <c r="S63" s="63" t="str">
        <f t="shared" si="43"/>
        <v>1.12902960442497E-13</v>
      </c>
      <c r="T63" s="63">
        <f t="shared" si="23"/>
        <v>-129.47294670236377</v>
      </c>
      <c r="U63" s="63" t="str">
        <f t="shared" si="44"/>
        <v>1.68294338348714E-13</v>
      </c>
      <c r="V63" s="63">
        <f t="shared" si="24"/>
        <v>-127.73930494037668</v>
      </c>
      <c r="W63" s="63">
        <f t="shared" si="45"/>
        <v>109.08983404943042</v>
      </c>
      <c r="X63" s="63" t="str">
        <f t="shared" si="46"/>
        <v>718.13873715564-846.953361274919i</v>
      </c>
      <c r="Y63" s="90" t="str">
        <f t="shared" si="47"/>
        <v>7.58300329644135E-10-7.76381565390548E-10i</v>
      </c>
      <c r="Z63" s="90" t="str">
        <f t="shared" si="48"/>
        <v>7.1813873715564E-11-8.46953361274919E-11i</v>
      </c>
      <c r="AA63" s="90" t="str">
        <f t="shared" si="49"/>
        <v>3.79150164822068E-10-3.88190782695274E-10i</v>
      </c>
      <c r="AB63" s="90" t="str">
        <f t="shared" si="25"/>
        <v>2.09581206869286E-14-1.57772181044202E-30i</v>
      </c>
      <c r="AC63" s="90">
        <f t="shared" si="26"/>
        <v>-136.78647663095217</v>
      </c>
      <c r="AD63" s="90" t="str">
        <f t="shared" si="50"/>
        <v>3.60136381995176E-14</v>
      </c>
      <c r="AE63" s="63">
        <f t="shared" si="27"/>
        <v>-134.43533002756422</v>
      </c>
      <c r="AF63" s="63" t="str">
        <f t="shared" si="28"/>
        <v>2.58540892624662E-16</v>
      </c>
      <c r="AG63" s="63">
        <f t="shared" si="29"/>
        <v>-155.87470756103156</v>
      </c>
      <c r="AH63" s="116">
        <f t="shared" si="53"/>
        <v>-175</v>
      </c>
      <c r="AI63" s="63" t="str">
        <f t="shared" si="51"/>
        <v>1.79385533594446E-14</v>
      </c>
      <c r="AJ63" s="63">
        <f t="shared" si="31"/>
        <v>-137.46212583217397</v>
      </c>
      <c r="AK63" s="63">
        <f t="shared" si="32"/>
        <v>-110.96382432144381</v>
      </c>
      <c r="AL63" s="49">
        <f t="shared" si="52"/>
        <v>5.4959539734973234E-8</v>
      </c>
    </row>
    <row r="64" spans="1:40" x14ac:dyDescent="0.25">
      <c r="A64" s="49"/>
      <c r="B64" s="49"/>
      <c r="C64" s="49"/>
      <c r="D64" s="49"/>
      <c r="E64" s="68">
        <v>63.095734448019563</v>
      </c>
      <c r="F64" s="61" t="str">
        <f t="shared" si="19"/>
        <v>396442.191629501i</v>
      </c>
      <c r="G64" s="83" t="str">
        <f t="shared" si="34"/>
        <v>652.030760324019-838.082427564388i</v>
      </c>
      <c r="H64" s="62" t="str">
        <f t="shared" si="35"/>
        <v>-2.46634402897317-1.91882339915595i</v>
      </c>
      <c r="I64" s="62" t="str">
        <f t="shared" si="36"/>
        <v>75.0857196318397-19.7408188329111i</v>
      </c>
      <c r="J64" s="89" t="str">
        <f t="shared" si="37"/>
        <v>188710.996147912-49614.0891370562i</v>
      </c>
      <c r="K64" s="89" t="str">
        <f t="shared" si="38"/>
        <v>146.006417115482+111.576520290106i</v>
      </c>
      <c r="L64" s="89" t="str">
        <f t="shared" si="39"/>
        <v>-0.251428660530663+0.329013647215186i</v>
      </c>
      <c r="M64" s="63">
        <f t="shared" si="20"/>
        <v>-157.02059991327963</v>
      </c>
      <c r="N64" s="63">
        <f t="shared" si="40"/>
        <v>-149.51029995663981</v>
      </c>
      <c r="O64" s="63" t="str">
        <f t="shared" si="41"/>
        <v>7.94398514736603E-12-4.03896783473158E-28i</v>
      </c>
      <c r="P64" s="63">
        <f t="shared" si="21"/>
        <v>-110.99961576499459</v>
      </c>
      <c r="Q64" s="63" t="str">
        <f t="shared" si="42"/>
        <v>4.2134560351561E-14+1.57772181044202E-30i</v>
      </c>
      <c r="R64" s="63">
        <f t="shared" si="22"/>
        <v>-133.75361533317135</v>
      </c>
      <c r="S64" s="63" t="str">
        <f t="shared" si="43"/>
        <v>1.19966456556528E-13</v>
      </c>
      <c r="T64" s="63">
        <f t="shared" si="23"/>
        <v>-129.2094016869265</v>
      </c>
      <c r="U64" s="63" t="str">
        <f t="shared" si="44"/>
        <v>2.0108583702396E-13-1.26217744835362E-29i</v>
      </c>
      <c r="V64" s="63">
        <f t="shared" si="24"/>
        <v>-126.96618516767495</v>
      </c>
      <c r="W64" s="63">
        <f t="shared" si="45"/>
        <v>109.08983404943042</v>
      </c>
      <c r="X64" s="63" t="str">
        <f t="shared" si="46"/>
        <v>717.477723545619-764.706747535454i</v>
      </c>
      <c r="Y64" s="90" t="str">
        <f t="shared" si="47"/>
        <v>7.576943945304E-10-7.00988093160865E-10i</v>
      </c>
      <c r="Z64" s="90" t="str">
        <f t="shared" si="48"/>
        <v>7.17477723545619E-11-7.64706747535454E-11i</v>
      </c>
      <c r="AA64" s="90" t="str">
        <f t="shared" si="49"/>
        <v>3.788471972652E-10-3.50494046580432E-10i</v>
      </c>
      <c r="AB64" s="90" t="str">
        <f t="shared" si="25"/>
        <v>2.26721698641925E-14</v>
      </c>
      <c r="AC64" s="90">
        <f t="shared" si="26"/>
        <v>-136.44506913267878</v>
      </c>
      <c r="AD64" s="90" t="str">
        <f t="shared" si="50"/>
        <v>4.30704001517197E-14</v>
      </c>
      <c r="AE64" s="63">
        <f t="shared" si="27"/>
        <v>-133.65821093343587</v>
      </c>
      <c r="AF64" s="63" t="str">
        <f t="shared" si="28"/>
        <v>4.35394370581612E-16-1.23259516440783E-32i</v>
      </c>
      <c r="AG64" s="63">
        <f t="shared" si="29"/>
        <v>-153.61117190456036</v>
      </c>
      <c r="AH64" s="116">
        <f t="shared" si="53"/>
        <v>-175</v>
      </c>
      <c r="AI64" s="63" t="str">
        <f t="shared" si="51"/>
        <v>1.90608348430229E-14+7.88860905221012E-31i</v>
      </c>
      <c r="AJ64" s="63">
        <f t="shared" si="31"/>
        <v>-137.19858081673667</v>
      </c>
      <c r="AK64" s="63">
        <f t="shared" si="32"/>
        <v>-110.76113265992316</v>
      </c>
      <c r="AL64" s="49">
        <f t="shared" si="52"/>
        <v>6.4611861456563499E-8</v>
      </c>
    </row>
    <row r="65" spans="1:38" x14ac:dyDescent="0.25">
      <c r="A65" s="49"/>
      <c r="B65" s="49"/>
      <c r="C65" s="49"/>
      <c r="D65" s="49"/>
      <c r="E65" s="68">
        <v>70.794578438414078</v>
      </c>
      <c r="F65" s="61" t="str">
        <f t="shared" si="19"/>
        <v>444815.455072216i</v>
      </c>
      <c r="G65" s="83" t="str">
        <f t="shared" si="34"/>
        <v>649.049330380002-770.203175238312i</v>
      </c>
      <c r="H65" s="62" t="str">
        <f t="shared" si="35"/>
        <v>-2.02009701071533-1.70233342871087i</v>
      </c>
      <c r="I65" s="62" t="str">
        <f t="shared" si="36"/>
        <v>75.5402425897799-25.9334888476027i</v>
      </c>
      <c r="J65" s="89" t="str">
        <f t="shared" si="37"/>
        <v>189853.336936355-65177.9664364653i</v>
      </c>
      <c r="K65" s="89" t="str">
        <f t="shared" si="38"/>
        <v>170.949457748039+102.438821849512i</v>
      </c>
      <c r="L65" s="89" t="str">
        <f t="shared" si="39"/>
        <v>-0.259004043162999+0.43222481412671i</v>
      </c>
      <c r="M65" s="63">
        <f t="shared" si="20"/>
        <v>-157.52059991327963</v>
      </c>
      <c r="N65" s="63">
        <f t="shared" si="40"/>
        <v>-149.51029995663981</v>
      </c>
      <c r="O65" s="63" t="str">
        <f t="shared" si="41"/>
        <v>8.26923439367275E-12</v>
      </c>
      <c r="P65" s="63">
        <f t="shared" si="21"/>
        <v>-110.82534697701981</v>
      </c>
      <c r="Q65" s="63" t="str">
        <f t="shared" si="42"/>
        <v>4.45903189191594E-14-1.57772181044202E-30i</v>
      </c>
      <c r="R65" s="63">
        <f t="shared" si="22"/>
        <v>-133.50759421475561</v>
      </c>
      <c r="S65" s="63" t="str">
        <f t="shared" si="43"/>
        <v>1.26958546922607E-13+6.31088724176809E-30i</v>
      </c>
      <c r="T65" s="63">
        <f t="shared" si="23"/>
        <v>-128.96338056851073</v>
      </c>
      <c r="U65" s="63" t="str">
        <f t="shared" si="44"/>
        <v>2.36246119513515E-13-1.26217744835362E-29i</v>
      </c>
      <c r="V65" s="63">
        <f t="shared" si="24"/>
        <v>-126.26635316311643</v>
      </c>
      <c r="W65" s="63">
        <f t="shared" si="45"/>
        <v>109.08983404943042</v>
      </c>
      <c r="X65" s="63" t="str">
        <f t="shared" si="46"/>
        <v>716.647284983577-692.584354410505i</v>
      </c>
      <c r="Y65" s="90" t="str">
        <f t="shared" si="47"/>
        <v>7.56933151680158E-10-6.34875247950862E-10i</v>
      </c>
      <c r="Z65" s="90" t="str">
        <f t="shared" si="48"/>
        <v>7.16647284983577E-11-6.92584354410505E-11i</v>
      </c>
      <c r="AA65" s="90" t="str">
        <f t="shared" si="49"/>
        <v>3.78466575840079E-10-3.17437623975431E-10i</v>
      </c>
      <c r="AB65" s="90" t="str">
        <f t="shared" si="25"/>
        <v>2.44252367224829E-14</v>
      </c>
      <c r="AC65" s="90">
        <f t="shared" si="26"/>
        <v>-136.12161218529562</v>
      </c>
      <c r="AD65" s="90" t="str">
        <f t="shared" si="50"/>
        <v>5.06599863855413E-14</v>
      </c>
      <c r="AE65" s="63">
        <f t="shared" si="27"/>
        <v>-132.9533493125856</v>
      </c>
      <c r="AF65" s="63" t="str">
        <f t="shared" si="28"/>
        <v>7.3027047632619E-16</v>
      </c>
      <c r="AG65" s="63">
        <f t="shared" si="29"/>
        <v>-151.36516256838769</v>
      </c>
      <c r="AH65" s="116">
        <f t="shared" si="53"/>
        <v>-175</v>
      </c>
      <c r="AI65" s="63" t="str">
        <f t="shared" si="51"/>
        <v>2.01717710455313E-14+7.88860905221012E-31i</v>
      </c>
      <c r="AJ65" s="63">
        <f t="shared" si="31"/>
        <v>-136.95255969832093</v>
      </c>
      <c r="AK65" s="63">
        <f t="shared" si="32"/>
        <v>-110.56851046722375</v>
      </c>
      <c r="AL65" s="49">
        <f t="shared" si="52"/>
        <v>7.5783467455403556E-8</v>
      </c>
    </row>
    <row r="66" spans="1:38" x14ac:dyDescent="0.25">
      <c r="A66" s="49"/>
      <c r="B66" s="49"/>
      <c r="C66" s="49"/>
      <c r="D66" s="49"/>
      <c r="E66" s="68">
        <v>79.432823472428467</v>
      </c>
      <c r="F66" s="61" t="str">
        <f t="shared" si="19"/>
        <v>499091.149349752i</v>
      </c>
      <c r="G66" s="83" t="str">
        <f t="shared" si="34"/>
        <v>645.316445125364-712.370893324853i</v>
      </c>
      <c r="H66" s="62" t="str">
        <f t="shared" si="35"/>
        <v>-1.66522563389167-1.50848033863249i</v>
      </c>
      <c r="I66" s="62" t="str">
        <f t="shared" si="36"/>
        <v>74.6846868649599-33.2993202399266i</v>
      </c>
      <c r="J66" s="89" t="str">
        <f t="shared" si="37"/>
        <v>187703.090872489-83690.3198682297i</v>
      </c>
      <c r="K66" s="89" t="str">
        <f t="shared" si="38"/>
        <v>195.633015412405+86.2723188065112i</v>
      </c>
      <c r="L66" s="89" t="str">
        <f t="shared" si="39"/>
        <v>-0.244744781082667+0.554988670665444i</v>
      </c>
      <c r="M66" s="63">
        <f t="shared" si="20"/>
        <v>-158.02059991327965</v>
      </c>
      <c r="N66" s="63">
        <f t="shared" si="40"/>
        <v>-149.51029995663981</v>
      </c>
      <c r="O66" s="63" t="str">
        <f t="shared" si="41"/>
        <v>8.53951648176235E-12+4.03896783473158E-28i</v>
      </c>
      <c r="P66" s="63">
        <f t="shared" si="21"/>
        <v>-110.6856671891841</v>
      </c>
      <c r="Q66" s="63" t="str">
        <f t="shared" si="42"/>
        <v>4.67417487587573E-14</v>
      </c>
      <c r="R66" s="63">
        <f t="shared" si="22"/>
        <v>-133.30295043290153</v>
      </c>
      <c r="S66" s="63" t="str">
        <f t="shared" si="43"/>
        <v>1.33084145771462E-13</v>
      </c>
      <c r="T66" s="63">
        <f t="shared" si="23"/>
        <v>-128.75873678665667</v>
      </c>
      <c r="U66" s="63" t="str">
        <f t="shared" si="44"/>
        <v>2.71526183027814E-13</v>
      </c>
      <c r="V66" s="63">
        <f t="shared" si="24"/>
        <v>-125.66188285426048</v>
      </c>
      <c r="W66" s="63">
        <f t="shared" si="45"/>
        <v>109.08983404943042</v>
      </c>
      <c r="X66" s="63" t="str">
        <f t="shared" si="46"/>
        <v>715.60455423103-629.619798719212i</v>
      </c>
      <c r="Y66" s="90" t="str">
        <f t="shared" si="47"/>
        <v>7.55977305737561E-10-5.77157169781669E-10i</v>
      </c>
      <c r="Z66" s="90" t="str">
        <f t="shared" si="48"/>
        <v>7.1560455423103E-11-6.29619798719212E-11i</v>
      </c>
      <c r="AA66" s="90" t="str">
        <f t="shared" si="49"/>
        <v>3.7798865286878E-10-2.88578584890835E-10i</v>
      </c>
      <c r="AB66" s="90" t="str">
        <f t="shared" si="25"/>
        <v>2.6054234444266E-14</v>
      </c>
      <c r="AC66" s="90">
        <f t="shared" si="26"/>
        <v>-135.84121683253903</v>
      </c>
      <c r="AD66" s="90" t="str">
        <f t="shared" si="50"/>
        <v>5.83101909586766E-14</v>
      </c>
      <c r="AE66" s="63">
        <f t="shared" si="27"/>
        <v>-132.34255536315817</v>
      </c>
      <c r="AF66" s="63" t="str">
        <f t="shared" si="28"/>
        <v>1.21323977001247E-15</v>
      </c>
      <c r="AG66" s="63">
        <f t="shared" si="29"/>
        <v>-149.16053361950335</v>
      </c>
      <c r="AH66" s="116">
        <f t="shared" si="53"/>
        <v>-175</v>
      </c>
      <c r="AI66" s="63" t="str">
        <f t="shared" si="51"/>
        <v>2.11450350005073E-14</v>
      </c>
      <c r="AJ66" s="63">
        <f t="shared" si="31"/>
        <v>-136.74791591646681</v>
      </c>
      <c r="AK66" s="63">
        <f t="shared" si="32"/>
        <v>-110.41073579237653</v>
      </c>
      <c r="AL66" s="49">
        <f t="shared" si="52"/>
        <v>8.8176313938445741E-8</v>
      </c>
    </row>
    <row r="67" spans="1:38" x14ac:dyDescent="0.25">
      <c r="A67" s="49"/>
      <c r="B67" s="49"/>
      <c r="C67" s="49"/>
      <c r="D67" s="49"/>
      <c r="E67" s="68">
        <v>89.125093813374917</v>
      </c>
      <c r="F67" s="61" t="str">
        <f t="shared" si="19"/>
        <v>559989.4799492i</v>
      </c>
      <c r="G67" s="83" t="str">
        <f t="shared" si="34"/>
        <v>640.649279689685-663.748782989653i</v>
      </c>
      <c r="H67" s="62" t="str">
        <f t="shared" si="35"/>
        <v>-1.38283594224814-1.33471107297546i</v>
      </c>
      <c r="I67" s="62" t="str">
        <f t="shared" si="36"/>
        <v>71.9138765122337-41.5362852546216i</v>
      </c>
      <c r="J67" s="89" t="str">
        <f t="shared" si="37"/>
        <v>180739.284913598-104392.070890663i</v>
      </c>
      <c r="K67" s="89" t="str">
        <f t="shared" si="38"/>
        <v>217.487566701234+62.3820834420043i</v>
      </c>
      <c r="L67" s="89" t="str">
        <f t="shared" si="39"/>
        <v>-0.198564608537229+0.692271420910363i</v>
      </c>
      <c r="M67" s="63">
        <f t="shared" si="20"/>
        <v>-158.52059991327965</v>
      </c>
      <c r="N67" s="63">
        <f t="shared" si="40"/>
        <v>-149.51029995663981</v>
      </c>
      <c r="O67" s="63" t="str">
        <f t="shared" si="41"/>
        <v>8.68968135440981E-12</v>
      </c>
      <c r="P67" s="63">
        <f t="shared" si="21"/>
        <v>-110.60996148586861</v>
      </c>
      <c r="Q67" s="63" t="str">
        <f t="shared" si="42"/>
        <v>4.82112622240181E-14-3.15544362088405E-30i</v>
      </c>
      <c r="R67" s="63">
        <f t="shared" si="22"/>
        <v>-133.1685149805962</v>
      </c>
      <c r="S67" s="63" t="str">
        <f t="shared" si="43"/>
        <v>1.37268177165607E-13</v>
      </c>
      <c r="T67" s="63">
        <f t="shared" si="23"/>
        <v>-128.62430133435134</v>
      </c>
      <c r="U67" s="63" t="str">
        <f t="shared" si="44"/>
        <v>3.03502028602928E-13+1.26217744835362E-29i</v>
      </c>
      <c r="V67" s="63">
        <f t="shared" si="24"/>
        <v>-125.17838401761333</v>
      </c>
      <c r="W67" s="63">
        <f t="shared" si="45"/>
        <v>109.08983404943042</v>
      </c>
      <c r="X67" s="63" t="str">
        <f t="shared" si="46"/>
        <v>714.296140702702-574.964441728389i</v>
      </c>
      <c r="Y67" s="90" t="str">
        <f t="shared" si="47"/>
        <v>7.54777914850473E-10-5.27055932148419E-10i</v>
      </c>
      <c r="Z67" s="90" t="str">
        <f t="shared" si="48"/>
        <v>7.14296140702702E-11-5.74964441728389E-11i</v>
      </c>
      <c r="AA67" s="90" t="str">
        <f t="shared" si="49"/>
        <v>3.77388957425237E-10-2.6352796607421E-10i</v>
      </c>
      <c r="AB67" s="90" t="str">
        <f t="shared" si="25"/>
        <v>2.73304549744823E-14</v>
      </c>
      <c r="AC67" s="90">
        <f t="shared" si="26"/>
        <v>-135.63353138477029</v>
      </c>
      <c r="AD67" s="90" t="str">
        <f t="shared" si="50"/>
        <v>6.52963852094249E-14</v>
      </c>
      <c r="AE67" s="63">
        <f t="shared" si="27"/>
        <v>-131.85110860486847</v>
      </c>
      <c r="AF67" s="63" t="str">
        <f t="shared" si="28"/>
        <v>1.98329956177145E-15-9.86076131526265E-32i</v>
      </c>
      <c r="AG67" s="63">
        <f t="shared" si="29"/>
        <v>-147.02611684080782</v>
      </c>
      <c r="AH67" s="116">
        <f t="shared" si="53"/>
        <v>-175</v>
      </c>
      <c r="AI67" s="63" t="str">
        <f t="shared" si="51"/>
        <v>2.18098135867134E-14-1.57772181044202E-30i</v>
      </c>
      <c r="AJ67" s="63">
        <f t="shared" si="31"/>
        <v>-136.61348046416151</v>
      </c>
      <c r="AK67" s="63">
        <f t="shared" si="32"/>
        <v>-110.31746738341275</v>
      </c>
      <c r="AL67" s="49">
        <f t="shared" si="52"/>
        <v>1.010831531830295E-7</v>
      </c>
    </row>
    <row r="68" spans="1:38" x14ac:dyDescent="0.25">
      <c r="A68" s="49"/>
      <c r="B68" s="49"/>
      <c r="C68" s="49"/>
      <c r="D68" s="49"/>
      <c r="E68" s="68">
        <v>100</v>
      </c>
      <c r="F68" s="61" t="str">
        <f t="shared" si="19"/>
        <v>628318.530717959i</v>
      </c>
      <c r="G68" s="83" t="str">
        <f t="shared" si="34"/>
        <v>634.824296232676-623.595171887725i</v>
      </c>
      <c r="H68" s="62" t="str">
        <f t="shared" si="35"/>
        <v>-1.15789629776533-1.17874662196975i</v>
      </c>
      <c r="I68" s="62" t="str">
        <f t="shared" si="36"/>
        <v>66.6982087069954-50.0042812805777i</v>
      </c>
      <c r="J68" s="89" t="str">
        <f t="shared" si="37"/>
        <v>167630.881985197-125674.46617528i</v>
      </c>
      <c r="K68" s="89" t="str">
        <f t="shared" si="38"/>
        <v>233.353312642695+31.2583072993126i</v>
      </c>
      <c r="L68" s="89" t="str">
        <f t="shared" si="39"/>
        <v>-0.111636811783259+0.833404688009625i</v>
      </c>
      <c r="M68" s="63">
        <f t="shared" si="20"/>
        <v>-159.02059991327963</v>
      </c>
      <c r="N68" s="63">
        <f t="shared" si="40"/>
        <v>-149.51029995663981</v>
      </c>
      <c r="O68" s="63" t="str">
        <f t="shared" si="41"/>
        <v>8.64922268337276E-12-8.07793566946316E-28i</v>
      </c>
      <c r="P68" s="63">
        <f t="shared" si="21"/>
        <v>-110.63022921378078</v>
      </c>
      <c r="Q68" s="63" t="str">
        <f t="shared" si="42"/>
        <v>4.85762303415581E-14-3.15544362088405E-30i</v>
      </c>
      <c r="R68" s="63">
        <f t="shared" si="22"/>
        <v>-133.13576190753241</v>
      </c>
      <c r="S68" s="63" t="str">
        <f t="shared" si="43"/>
        <v>1.3830732250027E-13</v>
      </c>
      <c r="T68" s="63">
        <f t="shared" si="23"/>
        <v>-128.59154826128753</v>
      </c>
      <c r="U68" s="63" t="str">
        <f t="shared" si="44"/>
        <v>3.27875840116074E-13-6.31088724176809E-30i</v>
      </c>
      <c r="V68" s="63">
        <f t="shared" si="24"/>
        <v>-124.84290583607667</v>
      </c>
      <c r="W68" s="63">
        <f t="shared" si="45"/>
        <v>109.08983404943042</v>
      </c>
      <c r="X68" s="63" t="str">
        <f t="shared" si="46"/>
        <v>712.655733326616-527.874638296178i</v>
      </c>
      <c r="Y68" s="90" t="str">
        <f t="shared" si="47"/>
        <v>7.53274193270566E-10-4.83889853620081E-10i</v>
      </c>
      <c r="Z68" s="90" t="str">
        <f t="shared" si="48"/>
        <v>7.12655733326616E-11-5.27874638296178E-11i</v>
      </c>
      <c r="AA68" s="90" t="str">
        <f t="shared" si="49"/>
        <v>3.76637096635283E-10-2.41944926810041E-10i</v>
      </c>
      <c r="AB68" s="90" t="str">
        <f t="shared" si="25"/>
        <v>2.7987855281557E-14</v>
      </c>
      <c r="AC68" s="90">
        <f t="shared" si="26"/>
        <v>-135.53030380386014</v>
      </c>
      <c r="AD68" s="90" t="str">
        <f t="shared" si="50"/>
        <v>7.07026151741551E-14</v>
      </c>
      <c r="AE68" s="63">
        <f t="shared" si="27"/>
        <v>-131.50564522063075</v>
      </c>
      <c r="AF68" s="63" t="str">
        <f t="shared" si="28"/>
        <v>3.16709632516955E-15</v>
      </c>
      <c r="AG68" s="63">
        <f t="shared" si="29"/>
        <v>-144.9933872764374</v>
      </c>
      <c r="AH68" s="116">
        <v>-175</v>
      </c>
      <c r="AI68" s="63" t="str">
        <f t="shared" si="51"/>
        <v>2.1974917884785E-14</v>
      </c>
      <c r="AJ68" s="63">
        <f t="shared" si="31"/>
        <v>-136.58072739109772</v>
      </c>
      <c r="AK68" s="63">
        <f t="shared" si="32"/>
        <v>-110.3208646423632</v>
      </c>
      <c r="AL68" s="49">
        <f t="shared" si="52"/>
        <v>1.1332847765760645E-7</v>
      </c>
    </row>
    <row r="69" spans="1:38" x14ac:dyDescent="0.25">
      <c r="A69" s="49"/>
      <c r="B69" s="49"/>
      <c r="C69" s="49"/>
      <c r="D69" s="49"/>
      <c r="E69" s="68">
        <v>112.20184543019658</v>
      </c>
      <c r="F69" s="61" t="str">
        <f t="shared" si="19"/>
        <v>704984.986645446i</v>
      </c>
      <c r="G69" s="83" t="str">
        <f t="shared" si="34"/>
        <v>627.57034125973-591.243650532731i</v>
      </c>
      <c r="H69" s="62" t="str">
        <f t="shared" si="35"/>
        <v>-0.978438224957212-1.03855459620529i</v>
      </c>
      <c r="I69" s="62" t="str">
        <f t="shared" si="36"/>
        <v>58.8010807259639-57.7477095488813i</v>
      </c>
      <c r="J69" s="89" t="str">
        <f t="shared" si="37"/>
        <v>147783.234585463-145135.824064321i</v>
      </c>
      <c r="K69" s="89" t="str">
        <f t="shared" si="38"/>
        <v>240.182601449072-4.98651032941248i</v>
      </c>
      <c r="L69" s="89" t="str">
        <f t="shared" si="39"/>
        <v>0.0199819879006007+0.962461825814688i</v>
      </c>
      <c r="M69" s="63">
        <f t="shared" si="20"/>
        <v>-159.52059991327963</v>
      </c>
      <c r="N69" s="63">
        <f t="shared" si="40"/>
        <v>-149.51029995663981</v>
      </c>
      <c r="O69" s="63" t="str">
        <f t="shared" si="41"/>
        <v>8.36161511739073E-12+8.07793566946316E-28i</v>
      </c>
      <c r="P69" s="63">
        <f t="shared" si="21"/>
        <v>-110.77709826768898</v>
      </c>
      <c r="Q69" s="63" t="str">
        <f t="shared" si="42"/>
        <v>4.74807496488512E-14</v>
      </c>
      <c r="R69" s="63">
        <f t="shared" si="22"/>
        <v>-133.23482432813711</v>
      </c>
      <c r="S69" s="63" t="str">
        <f t="shared" si="43"/>
        <v>1.35188245527979E-13+1.26217744835362E-29i</v>
      </c>
      <c r="T69" s="63">
        <f t="shared" si="23"/>
        <v>-128.69061068189228</v>
      </c>
      <c r="U69" s="63" t="str">
        <f t="shared" si="44"/>
        <v>3.40388055964529E-13</v>
      </c>
      <c r="V69" s="63">
        <f t="shared" si="24"/>
        <v>-124.68025687481997</v>
      </c>
      <c r="W69" s="63">
        <f t="shared" si="45"/>
        <v>109.08983404943042</v>
      </c>
      <c r="X69" s="63" t="str">
        <f t="shared" si="46"/>
        <v>710.601265302687-487.699815234209i</v>
      </c>
      <c r="Y69" s="90" t="str">
        <f t="shared" si="47"/>
        <v>7.51390912356418E-10-4.47062569563745E-10i</v>
      </c>
      <c r="Z69" s="90" t="str">
        <f t="shared" si="48"/>
        <v>7.10601265302687E-11-4.87699815234209E-11i</v>
      </c>
      <c r="AA69" s="90" t="str">
        <f t="shared" si="49"/>
        <v>3.75695456178209E-10-2.23531284781873E-10i</v>
      </c>
      <c r="AB69" s="90" t="str">
        <f t="shared" si="25"/>
        <v>2.77884359442878E-14-9.86076131526265E-32i</v>
      </c>
      <c r="AC69" s="90">
        <f t="shared" si="26"/>
        <v>-135.56135896543273</v>
      </c>
      <c r="AD69" s="90" t="str">
        <f t="shared" si="50"/>
        <v>7.36129430154447E-14</v>
      </c>
      <c r="AE69" s="63">
        <f t="shared" si="27"/>
        <v>-131.33045819004974</v>
      </c>
      <c r="AF69" s="63" t="str">
        <f t="shared" si="28"/>
        <v>4.90627707500543E-15-3.94430452610506E-31i</v>
      </c>
      <c r="AG69" s="63">
        <f t="shared" si="29"/>
        <v>-143.09247929275153</v>
      </c>
      <c r="AH69" s="116">
        <f>AH68-(($AH$68-$AH$88)/20)</f>
        <v>-175</v>
      </c>
      <c r="AI69" s="63" t="str">
        <f t="shared" si="51"/>
        <v>2.14793442658087E-14</v>
      </c>
      <c r="AJ69" s="63">
        <f t="shared" si="31"/>
        <v>-136.67978981170239</v>
      </c>
      <c r="AK69" s="63">
        <f t="shared" si="32"/>
        <v>-110.45156689849861</v>
      </c>
      <c r="AL69" s="49">
        <f t="shared" si="52"/>
        <v>1.2338683643275983E-7</v>
      </c>
    </row>
    <row r="70" spans="1:38" x14ac:dyDescent="0.25">
      <c r="A70" s="49"/>
      <c r="B70" s="49"/>
      <c r="C70" s="49"/>
      <c r="D70" s="49"/>
      <c r="E70" s="68">
        <v>125.89254117941702</v>
      </c>
      <c r="F70" s="61" t="str">
        <f t="shared" si="19"/>
        <v>791006.165022014i</v>
      </c>
      <c r="G70" s="83" t="str">
        <f t="shared" si="34"/>
        <v>618.561860789333-566.08091176592i</v>
      </c>
      <c r="H70" s="62" t="str">
        <f t="shared" si="35"/>
        <v>-0.834921091133587-0.912326017375778i</v>
      </c>
      <c r="I70" s="62" t="str">
        <f t="shared" si="36"/>
        <v>48.4773709061368-63.6810261413193i</v>
      </c>
      <c r="J70" s="89" t="str">
        <f t="shared" si="37"/>
        <v>121836.921843254-160047.875118903i</v>
      </c>
      <c r="K70" s="89" t="str">
        <f t="shared" si="38"/>
        <v>236.056973041236-42.7128315950513i</v>
      </c>
      <c r="L70" s="89" t="str">
        <f t="shared" si="39"/>
        <v>0.192043818231054+1.06135043568866i</v>
      </c>
      <c r="M70" s="63">
        <f t="shared" si="20"/>
        <v>-160.02059991327963</v>
      </c>
      <c r="N70" s="63">
        <f t="shared" si="40"/>
        <v>-149.51029995663981</v>
      </c>
      <c r="O70" s="63" t="str">
        <f t="shared" si="41"/>
        <v>7.80737405558953E-12</v>
      </c>
      <c r="P70" s="63">
        <f t="shared" si="21"/>
        <v>-111.07495012849114</v>
      </c>
      <c r="Q70" s="63" t="str">
        <f t="shared" si="42"/>
        <v>4.47752440254421E-14</v>
      </c>
      <c r="R70" s="63">
        <f t="shared" si="22"/>
        <v>-133.48962038564042</v>
      </c>
      <c r="S70" s="63" t="str">
        <f t="shared" si="43"/>
        <v>1.27485069794662E-13</v>
      </c>
      <c r="T70" s="63">
        <f t="shared" si="23"/>
        <v>-128.94540673939554</v>
      </c>
      <c r="U70" s="63" t="str">
        <f t="shared" si="44"/>
        <v>3.38185944811074E-13</v>
      </c>
      <c r="V70" s="63">
        <f t="shared" si="24"/>
        <v>-124.70844445874397</v>
      </c>
      <c r="W70" s="63">
        <f t="shared" si="45"/>
        <v>109.08983404943042</v>
      </c>
      <c r="X70" s="63" t="str">
        <f t="shared" si="46"/>
        <v>708.031625448161-453.871025526238i</v>
      </c>
      <c r="Y70" s="90" t="str">
        <f t="shared" si="47"/>
        <v>7.4903538594379E-10-4.16052540074982E-10i</v>
      </c>
      <c r="Z70" s="90" t="str">
        <f t="shared" si="48"/>
        <v>7.08031625448161E-11-4.53871025526238E-11i</v>
      </c>
      <c r="AA70" s="90" t="str">
        <f t="shared" si="49"/>
        <v>3.74517692971895E-10-2.08026270037491E-10i</v>
      </c>
      <c r="AB70" s="90" t="str">
        <f t="shared" si="25"/>
        <v>2.66088621544036E-14+7.88860905221012E-31i</v>
      </c>
      <c r="AC70" s="90">
        <f t="shared" si="26"/>
        <v>-135.74973696310289</v>
      </c>
      <c r="AD70" s="90" t="str">
        <f t="shared" si="50"/>
        <v>7.34021435003295E-14</v>
      </c>
      <c r="AE70" s="63">
        <f t="shared" si="27"/>
        <v>-131.34291257566591</v>
      </c>
      <c r="AF70" s="63" t="str">
        <f t="shared" si="28"/>
        <v>7.33278141354299E-15</v>
      </c>
      <c r="AG70" s="63">
        <f t="shared" si="29"/>
        <v>-141.34731260907432</v>
      </c>
      <c r="AH70" s="116">
        <f t="shared" ref="AH70:AH87" si="54">AH69-(($AH$68-$AH$88)/20)</f>
        <v>-175</v>
      </c>
      <c r="AI70" s="63" t="str">
        <f t="shared" si="51"/>
        <v>2.02554274757817E-14</v>
      </c>
      <c r="AJ70" s="63">
        <f t="shared" si="31"/>
        <v>-136.93458586920573</v>
      </c>
      <c r="AK70" s="63">
        <f t="shared" si="32"/>
        <v>-110.73378771847612</v>
      </c>
      <c r="AL70" s="49">
        <f t="shared" si="52"/>
        <v>1.2973189064457612E-7</v>
      </c>
    </row>
    <row r="71" spans="1:38" x14ac:dyDescent="0.25">
      <c r="A71" s="49"/>
      <c r="B71" s="49"/>
      <c r="C71" s="49"/>
      <c r="D71" s="49"/>
      <c r="E71" s="68">
        <v>141.25375446227577</v>
      </c>
      <c r="F71" s="61" t="str">
        <f t="shared" si="19"/>
        <v>887523.514621324i</v>
      </c>
      <c r="G71" s="83" t="str">
        <f t="shared" si="34"/>
        <v>607.413172699423-547.52122502156i</v>
      </c>
      <c r="H71" s="62" t="str">
        <f t="shared" si="35"/>
        <v>-0.71972714187488-0.798456254744998i</v>
      </c>
      <c r="I71" s="62" t="str">
        <f t="shared" si="36"/>
        <v>36.5162442351638-66.9017749373598i</v>
      </c>
      <c r="J71" s="89" t="str">
        <f t="shared" si="37"/>
        <v>91775.3317007053-168142.499724261i</v>
      </c>
      <c r="K71" s="89" t="str">
        <f t="shared" si="38"/>
        <v>221.026537828694-77.584387511038i</v>
      </c>
      <c r="L71" s="89" t="str">
        <f t="shared" si="39"/>
        <v>0.391395929413936+1.11502958228933i</v>
      </c>
      <c r="M71" s="63">
        <f t="shared" si="20"/>
        <v>-160.52059991327963</v>
      </c>
      <c r="N71" s="63">
        <f t="shared" si="40"/>
        <v>-149.51029995663981</v>
      </c>
      <c r="O71" s="63" t="str">
        <f t="shared" si="41"/>
        <v>7.01798587764784E-12-4.03896783473158E-28i</v>
      </c>
      <c r="P71" s="63">
        <f t="shared" si="21"/>
        <v>-111.53787510054181</v>
      </c>
      <c r="Q71" s="63" t="str">
        <f t="shared" si="42"/>
        <v>4.06087036393427E-14</v>
      </c>
      <c r="R71" s="63">
        <f t="shared" si="22"/>
        <v>-133.91380874367792</v>
      </c>
      <c r="S71" s="63" t="str">
        <f t="shared" si="43"/>
        <v>1.15622003417573E-13+6.31088724176809E-30i</v>
      </c>
      <c r="T71" s="63">
        <f t="shared" si="23"/>
        <v>-129.36959509743303</v>
      </c>
      <c r="U71" s="63" t="str">
        <f t="shared" si="44"/>
        <v>3.21003266522693E-13</v>
      </c>
      <c r="V71" s="63">
        <f t="shared" si="24"/>
        <v>-124.93490548200852</v>
      </c>
      <c r="W71" s="63">
        <f t="shared" si="45"/>
        <v>109.08983404943042</v>
      </c>
      <c r="X71" s="63" t="str">
        <f t="shared" si="46"/>
        <v>704.822946111873-425.889577721048i</v>
      </c>
      <c r="Y71" s="90" t="str">
        <f t="shared" si="47"/>
        <v>7.46094067566833E-10-3.90402626818618E-10i</v>
      </c>
      <c r="Z71" s="90" t="str">
        <f t="shared" si="48"/>
        <v>7.04822946111873E-11-4.25889577721048E-11i</v>
      </c>
      <c r="AA71" s="90" t="str">
        <f t="shared" si="49"/>
        <v>3.73047033783417E-10-1.95201313409309E-10i</v>
      </c>
      <c r="AB71" s="90" t="str">
        <f t="shared" si="25"/>
        <v>2.45036645866829E-14</v>
      </c>
      <c r="AC71" s="90">
        <f t="shared" si="26"/>
        <v>-136.10768960910499</v>
      </c>
      <c r="AD71" s="90" t="str">
        <f t="shared" si="50"/>
        <v>6.99898821556145E-14</v>
      </c>
      <c r="AE71" s="63">
        <f t="shared" si="27"/>
        <v>-131.54964737722611</v>
      </c>
      <c r="AF71" s="63" t="str">
        <f t="shared" si="28"/>
        <v>1.05401116828191E-14-7.88860905221012E-31i</v>
      </c>
      <c r="AG71" s="63">
        <f t="shared" si="29"/>
        <v>-139.77154787323178</v>
      </c>
      <c r="AH71" s="116">
        <f t="shared" si="54"/>
        <v>-175</v>
      </c>
      <c r="AI71" s="63" t="str">
        <f t="shared" si="51"/>
        <v>1.8370567695507E-14</v>
      </c>
      <c r="AJ71" s="63">
        <f t="shared" si="31"/>
        <v>-137.35877422724317</v>
      </c>
      <c r="AK71" s="63">
        <f t="shared" si="32"/>
        <v>-111.1812345511332</v>
      </c>
      <c r="AL71" s="49">
        <f t="shared" si="52"/>
        <v>1.3131128884882486E-7</v>
      </c>
    </row>
    <row r="72" spans="1:38" x14ac:dyDescent="0.25">
      <c r="A72" s="49"/>
      <c r="B72" s="49"/>
      <c r="C72" s="49"/>
      <c r="D72" s="49"/>
      <c r="E72" s="68">
        <v>158.48931924611176</v>
      </c>
      <c r="F72" s="61" t="str">
        <f t="shared" si="19"/>
        <v>995817.762032064i</v>
      </c>
      <c r="G72" s="83" t="str">
        <f t="shared" ref="G72:G103" si="55">IMDIV(IMDIV(IMPRODUCT(1/$C$24,IMDIV(1,F72),IMSUM(IMDIV(F72,$C$21),1)),(IMSUM(IMDIV(F72,$C$22),1))),IMSUM(IMDIV(F72,$C$23),1))</f>
        <v>593.675329345562-534.976491903428i</v>
      </c>
      <c r="H72" s="62" t="str">
        <f t="shared" ref="H72:H103" si="56">IMDIV(IMDIV(IMPRODUCT($C$19,$C$14,G72),F72),$C$20)</f>
        <v>-0.62676050212278-0.695530089919727i</v>
      </c>
      <c r="I72" s="62" t="str">
        <f t="shared" ref="I72:I103" si="57">IMDIV(IMDIV(IMPRODUCT($C$19,$C$14,G72),F72),IMSUM(1,H72))</f>
        <v>24.0580094895247-66.9777342264788i</v>
      </c>
      <c r="J72" s="89" t="str">
        <f t="shared" ref="J72:J103" si="58">IMDIV(IMDIV(IMPRODUCT(($C$14*2*PI()),G72),F72),IMSUM(1,H72))</f>
        <v>60464.3726978273-168333.406239996i</v>
      </c>
      <c r="K72" s="89" t="str">
        <f t="shared" ref="K72:K103" si="59">IMDIV(IMDIV(($C$14*2*PI()),F72),IMSUM(1,H72))</f>
        <v>197.213768858583-105.830026809835i</v>
      </c>
      <c r="L72" s="89" t="str">
        <f t="shared" ref="L72:L103" si="60">IMDIV(1,IMSUM(1,H72))</f>
        <v>0.599033175174588+1.11629557044131i</v>
      </c>
      <c r="M72" s="63">
        <f t="shared" si="20"/>
        <v>-161.02059991327963</v>
      </c>
      <c r="N72" s="63">
        <f t="shared" ref="N72:N103" si="61">$C$25+(10*LOG10($C$13))</f>
        <v>-149.51029995663981</v>
      </c>
      <c r="O72" s="63" t="str">
        <f t="shared" ref="O72:O103" si="62">IMPRODUCT((POWER(10,M72/10)+POWER(10,N72/10)),I72,(IMCONJUGATE(I72)))</f>
        <v>6.06975064445204E-12+4.03896783473158E-28i</v>
      </c>
      <c r="P72" s="63">
        <f t="shared" si="21"/>
        <v>-112.16829150104797</v>
      </c>
      <c r="Q72" s="63" t="str">
        <f t="shared" ref="Q72:Q103" si="63">IMPRODUCT(POWER(SQRT($C$32/$C$37),2),J72,(IMCONJUGATE(J72)),0.5)</f>
        <v>3.54045641311254E-14+1.57772181044202E-30i</v>
      </c>
      <c r="R72" s="63">
        <f t="shared" si="22"/>
        <v>-134.50940747884039</v>
      </c>
      <c r="S72" s="63" t="str">
        <f t="shared" ref="S72:S103" si="64">IMPRODUCT(POWER(SQRT($C$28*$C$13)*SQRT($C$32/$C$34),2)+POWER(SQRT($C$29+$C$28*$C$13)*SQRT($C$32/$C$34),2),J72,(IMCONJUGATE(J72)),0.5)</f>
        <v>1.00804661762232E-13</v>
      </c>
      <c r="T72" s="63">
        <f t="shared" si="23"/>
        <v>-129.96519383259553</v>
      </c>
      <c r="U72" s="63" t="str">
        <f t="shared" ref="U72:U103" si="65">IMPRODUCT(IMPRODUCT(SQRT($C$32*$C$38),IMDIV($C$39/($C$39+$C$40),IMSUM(IMPRODUCT(F72,$C$38,($C$39*$C$40)/($C$39+$C$40)),1))),IMCONJUGATE(IMPRODUCT(SQRT($C$32*$C$38),IMDIV($C$39/($C$39+$C$40),IMSUM(IMPRODUCT(F72,$C$38,($C$39*$C$40)/($C$39+$C$40)),1)))),K72,(IMCONJUGATE(K72)),0.5)</f>
        <v>2.91384708201616E-13</v>
      </c>
      <c r="V72" s="63">
        <f t="shared" si="24"/>
        <v>-125.35533243636435</v>
      </c>
      <c r="W72" s="63">
        <f t="shared" ref="W72:W103" si="66">$C$37*($C$34*($C$29+$C$28*$C$13)+$C$34*$C$28*$C$13)/($C$37+($C$34*($C$29+$C$28*$C$13)+$C$34*$C$28*$C$13))</f>
        <v>109.08983404943042</v>
      </c>
      <c r="X72" s="63" t="str">
        <f t="shared" ref="X72:X103" si="67">IMDIV(IMPRODUCT(IMDIV(1/($C$39+$C$40),F72),IMSUM(1,IMPRODUCT(F72,$C$38,$C$39))),IMSUM(IMPRODUCT(F72,$C$38,($C$39*$C$40)/($C$39+$C$40)),1))</f>
        <v>700.824576079075-403.315283304921i</v>
      </c>
      <c r="Y72" s="90" t="str">
        <f t="shared" ref="Y72:Y103" si="68">IMPRODUCT($C$30,IMSUM(1,IMDIV(X72,W72)))</f>
        <v>7.42428858917798E-10-3.6970931968067E-10i</v>
      </c>
      <c r="Z72" s="90" t="str">
        <f t="shared" ref="Z72:Z103" si="69">IMPRODUCT($C$31,X72)</f>
        <v>7.00824576079075E-11-4.03315283304921E-11i</v>
      </c>
      <c r="AA72" s="90" t="str">
        <f t="shared" ref="AA72:AA103" si="70">IMPRODUCT($C$31,$C$33,IMSUM(1,IMDIV(X72,W72)))</f>
        <v>3.71214429458899E-10-1.84854659840335E-10i</v>
      </c>
      <c r="AB72" s="90" t="str">
        <f t="shared" si="25"/>
        <v>2.17002815743239E-14+1.57772181044202E-30i</v>
      </c>
      <c r="AC72" s="90">
        <f t="shared" si="26"/>
        <v>-136.63534630880423</v>
      </c>
      <c r="AD72" s="90" t="str">
        <f t="shared" ref="AD72:AD103" si="71">(IMPRODUCT(POWER(10,($C$17-20*LOG(E72*1000/$C$18))/10),L72,(IMCONJUGATE(L72))))</f>
        <v>6.38944709208883E-14</v>
      </c>
      <c r="AE72" s="63">
        <f t="shared" si="27"/>
        <v>-131.94536721692</v>
      </c>
      <c r="AF72" s="63" t="str">
        <f t="shared" si="28"/>
        <v>1.45639585429642E-14</v>
      </c>
      <c r="AG72" s="63">
        <f t="shared" si="29"/>
        <v>-138.36720565977282</v>
      </c>
      <c r="AH72" s="116">
        <f t="shared" si="54"/>
        <v>-175</v>
      </c>
      <c r="AI72" s="63" t="str">
        <f t="shared" ref="AI72:AI103" si="72">IMPRODUCT(POWER(10,AH72/10),I72,(IMCONJUGATE(I72)))</f>
        <v>1.60163187644983E-14</v>
      </c>
      <c r="AJ72" s="63">
        <f t="shared" si="31"/>
        <v>-137.95437296240567</v>
      </c>
      <c r="AK72" s="63">
        <f t="shared" si="32"/>
        <v>-111.79567354481277</v>
      </c>
      <c r="AL72" s="49">
        <f t="shared" ref="AL72:AL103" si="73">10^((AK72+(10*LOG((E73-E72)*1000)))/10)</f>
        <v>1.278963541935423E-7</v>
      </c>
    </row>
    <row r="73" spans="1:38" x14ac:dyDescent="0.25">
      <c r="A73" s="49"/>
      <c r="B73" s="49"/>
      <c r="C73" s="49"/>
      <c r="D73" s="49"/>
      <c r="E73" s="68">
        <v>177.82794100389276</v>
      </c>
      <c r="F73" s="61" t="str">
        <f t="shared" ref="F73:F128" si="74">COMPLEX(0,2*PI()*E73*1000)</f>
        <v>1117325.90612166i</v>
      </c>
      <c r="G73" s="83" t="str">
        <f t="shared" si="55"/>
        <v>576.837907936404-527.821066665456i</v>
      </c>
      <c r="H73" s="62" t="str">
        <f t="shared" si="56"/>
        <v>-0.551129478936453-0.602310888499045i</v>
      </c>
      <c r="I73" s="62" t="str">
        <f t="shared" si="57"/>
        <v>12.2700867280524-64.04574397689i</v>
      </c>
      <c r="J73" s="89" t="str">
        <f t="shared" si="58"/>
        <v>30838.0914590068-160964.511017192i</v>
      </c>
      <c r="K73" s="89" t="str">
        <f t="shared" si="59"/>
        <v>168.072653190241-125.255679175981i</v>
      </c>
      <c r="L73" s="89" t="str">
        <f t="shared" si="60"/>
        <v>0.79549855453246+1.0674290662815i</v>
      </c>
      <c r="M73" s="63">
        <f t="shared" ref="M73:M128" si="75">$C$26+20*LOG($C$11*1000000)-10*LOG(E73*1000)-20*LOG($C$11*1000000/$C$13)</f>
        <v>-161.52059991327963</v>
      </c>
      <c r="N73" s="63">
        <f t="shared" si="61"/>
        <v>-149.51029995663981</v>
      </c>
      <c r="O73" s="63" t="str">
        <f t="shared" si="62"/>
        <v>5.05960586836754E-12+2.01948391736579E-28i</v>
      </c>
      <c r="P73" s="63">
        <f t="shared" ref="P73:P128" si="76">10*LOG(IMABS(O73))</f>
        <v>-112.95883312381504</v>
      </c>
      <c r="Q73" s="63" t="str">
        <f t="shared" si="63"/>
        <v>2.97256882723005E-14</v>
      </c>
      <c r="R73" s="63">
        <f t="shared" ref="R73:R128" si="77">10*LOG(IMABS(Q73))</f>
        <v>-135.26868080884154</v>
      </c>
      <c r="S73" s="63" t="str">
        <f t="shared" si="64"/>
        <v>8.46356402197445E-14</v>
      </c>
      <c r="T73" s="63">
        <f t="shared" ref="T73:T128" si="78">10*LOG(IMABS(S73))</f>
        <v>-130.72446716259668</v>
      </c>
      <c r="U73" s="63" t="str">
        <f t="shared" si="65"/>
        <v>2.53764694956639E-13</v>
      </c>
      <c r="V73" s="63">
        <f t="shared" ref="V73:V128" si="79">10*LOG(IMABS(U73))</f>
        <v>-125.95568799310084</v>
      </c>
      <c r="W73" s="63">
        <f t="shared" si="66"/>
        <v>109.08983404943042</v>
      </c>
      <c r="X73" s="63" t="str">
        <f t="shared" si="67"/>
        <v>695.854973209671-385.753808011738i</v>
      </c>
      <c r="Y73" s="90" t="str">
        <f t="shared" si="68"/>
        <v>7.37873344728316E-10-3.53611142021672E-10i</v>
      </c>
      <c r="Z73" s="90" t="str">
        <f t="shared" si="69"/>
        <v>6.95854973209671E-11-3.85753808011738E-11i</v>
      </c>
      <c r="AA73" s="90" t="str">
        <f t="shared" si="70"/>
        <v>3.68936672364158E-10-1.76805571010836E-10i</v>
      </c>
      <c r="AB73" s="90" t="str">
        <f t="shared" ref="AB73:AB128" si="80">IMPRODUCT(IMSUM(IMPRODUCT(Y73,IMCONJUGATE(Y73)),IMPRODUCT(Z73,IMCONJUGATE(Z73)),IMPRODUCT(AA73,IMCONJUGATE(AA73))),K73,IMCONJUGATE(K73),0.5)</f>
        <v>1.85240655955808E-14</v>
      </c>
      <c r="AC73" s="90">
        <f t="shared" ref="AC73:AC128" si="81">10*LOG(IMABS(AB73))</f>
        <v>-137.32263689794948</v>
      </c>
      <c r="AD73" s="90" t="str">
        <f t="shared" si="71"/>
        <v>5.60426044850042E-14-3.15544362088405E-30i</v>
      </c>
      <c r="AE73" s="63">
        <f t="shared" ref="AE73:AE128" si="82">10*LOG(IMABS(AD73))</f>
        <v>-132.51481689817709</v>
      </c>
      <c r="AF73" s="63" t="str">
        <f t="shared" ref="AF73:AF128" si="83">IF($C$27="0",1E-30,IMSUM(IMPRODUCT(POWER(2*PI(),2)/(12*$C$13*POWER($C$20,2))*POWER((2*SIN(PI()*(E73*1000)/$C$13)),(2*($C$27-1))),I73,(IMCONJUGATE(I73))),1E-30))</f>
        <v>1.93795936647254E-14+7.88860905221012E-31i</v>
      </c>
      <c r="AG73" s="63">
        <f t="shared" ref="AG73:AG128" si="84">10*LOG(IMABS(AF73))</f>
        <v>-137.12655333116913</v>
      </c>
      <c r="AH73" s="116">
        <f t="shared" si="54"/>
        <v>-175</v>
      </c>
      <c r="AI73" s="63" t="str">
        <f t="shared" si="72"/>
        <v>1.34473085758093E-14</v>
      </c>
      <c r="AJ73" s="63">
        <f t="shared" ref="AJ73:AJ128" si="85">10*LOG(IMABS(AI73))</f>
        <v>-138.71364629240685</v>
      </c>
      <c r="AK73" s="63">
        <f t="shared" ref="AK73:AK128" si="86">10*LOG(IMABS(IMSUM(O73,Q73,S73,U73,AB73,AD73,AF73,AI73)))</f>
        <v>-112.56872530563945</v>
      </c>
      <c r="AL73" s="49">
        <f t="shared" si="73"/>
        <v>1.2010276023602947E-7</v>
      </c>
    </row>
    <row r="74" spans="1:38" x14ac:dyDescent="0.25">
      <c r="A74" s="49"/>
      <c r="B74" s="49"/>
      <c r="C74" s="49"/>
      <c r="D74" s="49"/>
      <c r="E74" s="68">
        <v>199.52623149688853</v>
      </c>
      <c r="F74" s="61" t="str">
        <f t="shared" si="74"/>
        <v>1253660.28613816i</v>
      </c>
      <c r="G74" s="83" t="str">
        <f t="shared" si="55"/>
        <v>556.339063027734-525.351165862238i</v>
      </c>
      <c r="H74" s="62" t="str">
        <f t="shared" si="56"/>
        <v>-0.488896154949587-0.517733749226777i</v>
      </c>
      <c r="I74" s="62" t="str">
        <f t="shared" si="57"/>
        <v>2.05997081715894-58.6916119486096i</v>
      </c>
      <c r="J74" s="89" t="str">
        <f t="shared" si="58"/>
        <v>5177.2713486368-147508.109540076i</v>
      </c>
      <c r="K74" s="89" t="str">
        <f t="shared" si="59"/>
        <v>137.272270938362-135.514413731347i</v>
      </c>
      <c r="L74" s="89" t="str">
        <f t="shared" si="60"/>
        <v>0.965667153047351+0.978193532476828i</v>
      </c>
      <c r="M74" s="63">
        <f t="shared" si="75"/>
        <v>-162.02059991327963</v>
      </c>
      <c r="N74" s="63">
        <f t="shared" si="61"/>
        <v>-149.51029995663981</v>
      </c>
      <c r="O74" s="63" t="str">
        <f t="shared" si="62"/>
        <v>4.07720147614147E-12-2.52435489670724E-29i</v>
      </c>
      <c r="P74" s="63">
        <f t="shared" si="76"/>
        <v>-113.89637827224684</v>
      </c>
      <c r="Q74" s="63" t="str">
        <f t="shared" si="63"/>
        <v>2.41092274806996E-14+9.86076131526265E-32i</v>
      </c>
      <c r="R74" s="63">
        <f t="shared" si="77"/>
        <v>-136.17816705269348</v>
      </c>
      <c r="S74" s="63" t="str">
        <f t="shared" si="64"/>
        <v>6.86443282436586E-14+3.94430452610506E-31i</v>
      </c>
      <c r="T74" s="63">
        <f t="shared" si="78"/>
        <v>-131.63395340644863</v>
      </c>
      <c r="U74" s="63" t="str">
        <f t="shared" si="65"/>
        <v>2.129959750673E-13</v>
      </c>
      <c r="V74" s="63">
        <f t="shared" si="79"/>
        <v>-126.71628603240029</v>
      </c>
      <c r="W74" s="63">
        <f t="shared" si="66"/>
        <v>109.08983404943042</v>
      </c>
      <c r="X74" s="63" t="str">
        <f t="shared" si="67"/>
        <v>689.697942886781-372.842574185434i</v>
      </c>
      <c r="Y74" s="90" t="str">
        <f t="shared" si="68"/>
        <v>7.32229344646603E-10-3.41775727714915E-10i</v>
      </c>
      <c r="Z74" s="90" t="str">
        <f t="shared" si="69"/>
        <v>6.89697942886781E-11-3.72842574185434E-11i</v>
      </c>
      <c r="AA74" s="90" t="str">
        <f t="shared" si="70"/>
        <v>3.66114672323301E-10-1.70887863857457E-10i</v>
      </c>
      <c r="AB74" s="90" t="str">
        <f t="shared" si="80"/>
        <v>1.52991171117372E-14</v>
      </c>
      <c r="AC74" s="90">
        <f t="shared" si="81"/>
        <v>-138.15333630918619</v>
      </c>
      <c r="AD74" s="90" t="str">
        <f t="shared" si="71"/>
        <v>4.7458970277456E-14+3.15544362088405E-30i</v>
      </c>
      <c r="AE74" s="63">
        <f t="shared" si="82"/>
        <v>-133.23681688952018</v>
      </c>
      <c r="AF74" s="63" t="str">
        <f t="shared" si="83"/>
        <v>2.49107431286792E-14-9.86076131526265E-32i</v>
      </c>
      <c r="AG74" s="63">
        <f t="shared" si="84"/>
        <v>-136.03613316547364</v>
      </c>
      <c r="AH74" s="116">
        <f t="shared" si="54"/>
        <v>-175</v>
      </c>
      <c r="AI74" s="63" t="str">
        <f t="shared" si="72"/>
        <v>1.09065337188325E-14</v>
      </c>
      <c r="AJ74" s="63">
        <f t="shared" si="85"/>
        <v>-139.62313253625877</v>
      </c>
      <c r="AK74" s="63">
        <f t="shared" si="86"/>
        <v>-113.48574043663609</v>
      </c>
      <c r="AL74" s="49">
        <f t="shared" si="73"/>
        <v>1.0910671382549654E-7</v>
      </c>
    </row>
    <row r="75" spans="1:38" x14ac:dyDescent="0.25">
      <c r="A75" s="49"/>
      <c r="B75" s="49"/>
      <c r="C75" s="49"/>
      <c r="D75" s="49"/>
      <c r="E75" s="68">
        <v>223.8721138568346</v>
      </c>
      <c r="F75" s="61" t="str">
        <f t="shared" si="74"/>
        <v>1406629.9764725i</v>
      </c>
      <c r="G75" s="83" t="str">
        <f t="shared" si="55"/>
        <v>531.588243914161-526.73998363348i</v>
      </c>
      <c r="H75" s="62" t="str">
        <f t="shared" si="56"/>
        <v>-0.436881049874128-0.440902223711885i</v>
      </c>
      <c r="I75" s="62" t="str">
        <f t="shared" si="57"/>
        <v>-6.05530288249815-51.7189661657551i</v>
      </c>
      <c r="J75" s="89" t="str">
        <f t="shared" si="58"/>
        <v>-15218.6360407339-129983.939326076i</v>
      </c>
      <c r="K75" s="89" t="str">
        <f t="shared" si="59"/>
        <v>107.80939674985-137.693826536812i</v>
      </c>
      <c r="L75" s="89" t="str">
        <f t="shared" si="60"/>
        <v>1.1009217147083+0.861982769429252i</v>
      </c>
      <c r="M75" s="63">
        <f t="shared" si="75"/>
        <v>-162.52059991327963</v>
      </c>
      <c r="N75" s="63">
        <f t="shared" si="61"/>
        <v>-149.51029995663981</v>
      </c>
      <c r="O75" s="63" t="str">
        <f t="shared" si="62"/>
        <v>3.1869248300078E-12+5.04870979341448E-29i</v>
      </c>
      <c r="P75" s="63">
        <f t="shared" si="76"/>
        <v>-114.96628180108891</v>
      </c>
      <c r="Q75" s="63" t="str">
        <f t="shared" si="63"/>
        <v>1.8954357378003E-14+3.94430452610506E-31i</v>
      </c>
      <c r="R75" s="63">
        <f t="shared" si="77"/>
        <v>-137.22290935158318</v>
      </c>
      <c r="S75" s="63" t="str">
        <f t="shared" si="64"/>
        <v>5.39672675345918E-14</v>
      </c>
      <c r="T75" s="63">
        <f t="shared" si="78"/>
        <v>-132.67869570533833</v>
      </c>
      <c r="U75" s="63" t="str">
        <f t="shared" si="65"/>
        <v>1.73140413148295E-13</v>
      </c>
      <c r="V75" s="63">
        <f t="shared" si="79"/>
        <v>-127.61601550502391</v>
      </c>
      <c r="W75" s="63">
        <f t="shared" si="66"/>
        <v>109.08983404943042</v>
      </c>
      <c r="X75" s="63" t="str">
        <f t="shared" si="67"/>
        <v>682.099920723113-364.234673601486i</v>
      </c>
      <c r="Y75" s="90" t="str">
        <f t="shared" si="68"/>
        <v>7.25264422360421E-10-3.33885074420817E-10i</v>
      </c>
      <c r="Z75" s="90" t="str">
        <f t="shared" si="69"/>
        <v>6.82099920723113E-11-3.64234673601486E-11i</v>
      </c>
      <c r="AA75" s="90" t="str">
        <f t="shared" si="70"/>
        <v>3.62632211180211E-10-1.66942537210409E-10i</v>
      </c>
      <c r="AB75" s="90" t="str">
        <f t="shared" si="80"/>
        <v>1.22763930614789E-14</v>
      </c>
      <c r="AC75" s="90">
        <f t="shared" si="81"/>
        <v>-139.10929214921012</v>
      </c>
      <c r="AD75" s="90" t="str">
        <f t="shared" si="71"/>
        <v>3.90082345585664E-14+3.15544362088405E-30i</v>
      </c>
      <c r="AE75" s="63">
        <f t="shared" si="82"/>
        <v>-134.08843704618295</v>
      </c>
      <c r="AF75" s="63" t="str">
        <f t="shared" si="83"/>
        <v>3.10384961610518E-14</v>
      </c>
      <c r="AG75" s="63">
        <f t="shared" si="84"/>
        <v>-135.08099328804906</v>
      </c>
      <c r="AH75" s="116">
        <f t="shared" si="54"/>
        <v>-175</v>
      </c>
      <c r="AI75" s="63" t="str">
        <f t="shared" si="72"/>
        <v>8.57457328433622E-15</v>
      </c>
      <c r="AJ75" s="63">
        <f t="shared" si="85"/>
        <v>-140.66787483514847</v>
      </c>
      <c r="AK75" s="63">
        <f t="shared" si="86"/>
        <v>-114.52978326578487</v>
      </c>
      <c r="AL75" s="49">
        <f t="shared" si="73"/>
        <v>9.6260295952597923E-8</v>
      </c>
    </row>
    <row r="76" spans="1:38" x14ac:dyDescent="0.25">
      <c r="A76" s="49"/>
      <c r="B76" s="49"/>
      <c r="C76" s="49"/>
      <c r="D76" s="49"/>
      <c r="E76" s="68">
        <v>251.1886431509588</v>
      </c>
      <c r="F76" s="61" t="str">
        <f t="shared" si="74"/>
        <v>1578264.79197648i</v>
      </c>
      <c r="G76" s="83" t="str">
        <f t="shared" si="55"/>
        <v>502.006809313894-530.991854221442i</v>
      </c>
      <c r="H76" s="62" t="str">
        <f t="shared" si="56"/>
        <v>-0.392513664209595-0.371087674161927i</v>
      </c>
      <c r="I76" s="62" t="str">
        <f t="shared" si="57"/>
        <v>-11.9279500978299-43.9377384090627i</v>
      </c>
      <c r="J76" s="89" t="str">
        <f t="shared" si="58"/>
        <v>-29978.2083197823-110427.580961009i</v>
      </c>
      <c r="K76" s="89" t="str">
        <f t="shared" si="59"/>
        <v>81.6290006865743-133.630152586747i</v>
      </c>
      <c r="L76" s="89" t="str">
        <f t="shared" si="60"/>
        <v>1.19879916829716+0.732295640151045i</v>
      </c>
      <c r="M76" s="63">
        <f t="shared" si="75"/>
        <v>-163.02059991327963</v>
      </c>
      <c r="N76" s="63">
        <f t="shared" si="61"/>
        <v>-149.51029995663981</v>
      </c>
      <c r="O76" s="63" t="str">
        <f t="shared" si="62"/>
        <v>2.42360607507595E-12-1.0097419586829E-28i</v>
      </c>
      <c r="P76" s="63">
        <f t="shared" si="76"/>
        <v>-116.15537967559953</v>
      </c>
      <c r="Q76" s="63" t="str">
        <f t="shared" si="63"/>
        <v>1.44895242628007E-14+7.88860905221012E-31i</v>
      </c>
      <c r="R76" s="63">
        <f t="shared" si="77"/>
        <v>-138.3894587356487</v>
      </c>
      <c r="S76" s="63" t="str">
        <f t="shared" si="64"/>
        <v>4.12548954704741E-14</v>
      </c>
      <c r="T76" s="63">
        <f t="shared" si="78"/>
        <v>-133.84524508940385</v>
      </c>
      <c r="U76" s="63" t="str">
        <f t="shared" si="65"/>
        <v>1.36921067739018E-13</v>
      </c>
      <c r="V76" s="63">
        <f t="shared" si="79"/>
        <v>-128.63529722802087</v>
      </c>
      <c r="W76" s="63">
        <f t="shared" si="66"/>
        <v>109.08983404943042</v>
      </c>
      <c r="X76" s="63" t="str">
        <f t="shared" si="67"/>
        <v>672.769358178806-359.580367353749i</v>
      </c>
      <c r="Y76" s="90" t="str">
        <f t="shared" si="68"/>
        <v>7.16711322407882E-10-3.29618584982737E-10i</v>
      </c>
      <c r="Z76" s="90" t="str">
        <f t="shared" si="69"/>
        <v>6.72769358178806E-11-3.59580367353749E-11i</v>
      </c>
      <c r="AA76" s="90" t="str">
        <f t="shared" si="70"/>
        <v>3.58355661203941E-10-1.64809292491369E-10i</v>
      </c>
      <c r="AB76" s="90" t="str">
        <f t="shared" si="80"/>
        <v>9.6085731363004E-15</v>
      </c>
      <c r="AC76" s="90">
        <f t="shared" si="81"/>
        <v>-140.17341099848599</v>
      </c>
      <c r="AD76" s="90" t="str">
        <f t="shared" si="71"/>
        <v>3.12759074406197E-14-1.57772181044202E-30i</v>
      </c>
      <c r="AE76" s="63">
        <f t="shared" si="82"/>
        <v>-135.04790080811631</v>
      </c>
      <c r="AF76" s="63" t="str">
        <f t="shared" si="83"/>
        <v>3.7603727739453E-14</v>
      </c>
      <c r="AG76" s="63">
        <f t="shared" si="84"/>
        <v>-134.24769100380121</v>
      </c>
      <c r="AH76" s="116">
        <f t="shared" si="54"/>
        <v>-175</v>
      </c>
      <c r="AI76" s="63" t="str">
        <f t="shared" si="72"/>
        <v>6.55477182205806E-15</v>
      </c>
      <c r="AJ76" s="63">
        <f t="shared" si="85"/>
        <v>-141.83442421921399</v>
      </c>
      <c r="AK76" s="63">
        <f t="shared" si="86"/>
        <v>-115.68424843358014</v>
      </c>
      <c r="AL76" s="49">
        <f t="shared" si="73"/>
        <v>8.2794345207040304E-8</v>
      </c>
    </row>
    <row r="77" spans="1:38" x14ac:dyDescent="0.25">
      <c r="A77" s="49"/>
      <c r="B77" s="49"/>
      <c r="C77" s="49"/>
      <c r="D77" s="49"/>
      <c r="E77" s="68">
        <v>281.83829312644627</v>
      </c>
      <c r="F77" s="61" t="str">
        <f t="shared" si="74"/>
        <v>1770842.22237266i</v>
      </c>
      <c r="G77" s="83" t="str">
        <f t="shared" si="55"/>
        <v>467.091759330486-536.902166601973i</v>
      </c>
      <c r="H77" s="62" t="str">
        <f t="shared" si="56"/>
        <v>-0.353722004773735-0.307729496733723i</v>
      </c>
      <c r="I77" s="62" t="str">
        <f t="shared" si="57"/>
        <v>-15.680613837682-36.0358195401895i</v>
      </c>
      <c r="J77" s="89" t="str">
        <f t="shared" si="58"/>
        <v>-39409.6809889923-90567.8927468376i</v>
      </c>
      <c r="K77" s="89" t="str">
        <f t="shared" si="59"/>
        <v>59.6679592360325-125.311643776785i</v>
      </c>
      <c r="L77" s="89" t="str">
        <f t="shared" si="60"/>
        <v>1.26134356396137+0.600596992336491i</v>
      </c>
      <c r="M77" s="63">
        <f t="shared" si="75"/>
        <v>-163.52059991327963</v>
      </c>
      <c r="N77" s="63">
        <f t="shared" si="61"/>
        <v>-149.51029995663981</v>
      </c>
      <c r="O77" s="63" t="str">
        <f t="shared" si="62"/>
        <v>1.79747191838553E-12</v>
      </c>
      <c r="P77" s="63">
        <f t="shared" si="76"/>
        <v>-117.45337885804871</v>
      </c>
      <c r="Q77" s="63" t="str">
        <f t="shared" si="63"/>
        <v>1.07962705418309E-14</v>
      </c>
      <c r="R77" s="63">
        <f t="shared" si="77"/>
        <v>-139.66726241070677</v>
      </c>
      <c r="S77" s="63" t="str">
        <f t="shared" si="64"/>
        <v>3.0739381403824E-14</v>
      </c>
      <c r="T77" s="63">
        <f t="shared" si="78"/>
        <v>-135.12304876446191</v>
      </c>
      <c r="U77" s="63" t="str">
        <f t="shared" si="65"/>
        <v>1.05744805394071E-13</v>
      </c>
      <c r="V77" s="63">
        <f t="shared" si="79"/>
        <v>-129.75740957703289</v>
      </c>
      <c r="W77" s="63">
        <f t="shared" si="66"/>
        <v>109.08983404943042</v>
      </c>
      <c r="X77" s="63" t="str">
        <f t="shared" si="67"/>
        <v>661.379700008048-358.506049606844i</v>
      </c>
      <c r="Y77" s="90" t="str">
        <f t="shared" si="68"/>
        <v>7.06270699530412E-10-3.28633784009974E-10i</v>
      </c>
      <c r="Z77" s="90" t="str">
        <f t="shared" si="69"/>
        <v>6.61379700008048E-11-3.58506049606844E-11i</v>
      </c>
      <c r="AA77" s="90" t="str">
        <f t="shared" si="70"/>
        <v>3.53135349765206E-10-1.64316892004987E-10i</v>
      </c>
      <c r="AB77" s="90" t="str">
        <f t="shared" si="80"/>
        <v>7.36032897552242E-15-3.94430452610506E-31i</v>
      </c>
      <c r="AC77" s="90">
        <f t="shared" si="81"/>
        <v>-141.33102774105282</v>
      </c>
      <c r="AD77" s="90" t="str">
        <f t="shared" si="71"/>
        <v>2.45705018181539E-14</v>
      </c>
      <c r="AE77" s="63">
        <f t="shared" si="82"/>
        <v>-136.09585973571623</v>
      </c>
      <c r="AF77" s="63" t="str">
        <f t="shared" si="83"/>
        <v>4.44049983427677E-14</v>
      </c>
      <c r="AG77" s="63">
        <f t="shared" si="84"/>
        <v>-133.52568141810937</v>
      </c>
      <c r="AH77" s="116">
        <f t="shared" si="54"/>
        <v>-175</v>
      </c>
      <c r="AI77" s="63" t="str">
        <f t="shared" si="72"/>
        <v>4.88401749066325E-15</v>
      </c>
      <c r="AJ77" s="63">
        <f t="shared" si="85"/>
        <v>-143.11222789427211</v>
      </c>
      <c r="AK77" s="63">
        <f t="shared" si="86"/>
        <v>-116.93366513448488</v>
      </c>
      <c r="AL77" s="49">
        <f t="shared" si="73"/>
        <v>6.9672116817274881E-8</v>
      </c>
    </row>
    <row r="78" spans="1:38" x14ac:dyDescent="0.25">
      <c r="A78" s="49"/>
      <c r="B78" s="49"/>
      <c r="C78" s="49"/>
      <c r="D78" s="49"/>
      <c r="E78" s="68">
        <v>316.22776601683893</v>
      </c>
      <c r="F78" s="61" t="str">
        <f t="shared" si="74"/>
        <v>1986917.65315923i</v>
      </c>
      <c r="G78" s="83" t="str">
        <f t="shared" si="55"/>
        <v>426.505987697283-543.03413030266i</v>
      </c>
      <c r="H78" s="62" t="str">
        <f t="shared" si="56"/>
        <v>-0.318855599113078-0.250433287050918i</v>
      </c>
      <c r="I78" s="62" t="str">
        <f t="shared" si="57"/>
        <v>-17.5975712250257-28.5299487212214i</v>
      </c>
      <c r="J78" s="89" t="str">
        <f t="shared" si="58"/>
        <v>-44227.520385251-71703.5818479061i</v>
      </c>
      <c r="K78" s="89" t="str">
        <f t="shared" si="59"/>
        <v>42.1024890938714-114.51303078517i</v>
      </c>
      <c r="L78" s="89" t="str">
        <f t="shared" si="60"/>
        <v>1.29329285375043+0.475499145353689i</v>
      </c>
      <c r="M78" s="63">
        <f t="shared" si="75"/>
        <v>-164.02059991327963</v>
      </c>
      <c r="N78" s="63">
        <f t="shared" si="61"/>
        <v>-149.51029995663981</v>
      </c>
      <c r="O78" s="63" t="str">
        <f t="shared" si="62"/>
        <v>1.30227083736554E-12</v>
      </c>
      <c r="P78" s="63">
        <f t="shared" si="76"/>
        <v>-118.8529868478375</v>
      </c>
      <c r="Q78" s="63" t="str">
        <f t="shared" si="63"/>
        <v>7.85454144490019E-15-3.94430452610506E-31i</v>
      </c>
      <c r="R78" s="63">
        <f t="shared" si="77"/>
        <v>-141.0487916438118</v>
      </c>
      <c r="S78" s="63" t="str">
        <f t="shared" si="64"/>
        <v>2.23636249472853E-14-1.57772181044202E-30i</v>
      </c>
      <c r="T78" s="63">
        <f t="shared" si="78"/>
        <v>-136.50457799756697</v>
      </c>
      <c r="U78" s="63" t="str">
        <f t="shared" si="65"/>
        <v>8.00099215873497E-14</v>
      </c>
      <c r="V78" s="63">
        <f t="shared" si="79"/>
        <v>-130.96856155214735</v>
      </c>
      <c r="W78" s="63">
        <f t="shared" si="66"/>
        <v>109.08983404943042</v>
      </c>
      <c r="X78" s="63" t="str">
        <f t="shared" si="67"/>
        <v>647.577875847289-360.591133045553i</v>
      </c>
      <c r="Y78" s="90" t="str">
        <f t="shared" si="68"/>
        <v>6.93618902705325E-10-3.30545129330899E-10i</v>
      </c>
      <c r="Z78" s="90" t="str">
        <f t="shared" si="69"/>
        <v>6.47577875847289E-11-3.60591133045553E-11i</v>
      </c>
      <c r="AA78" s="90" t="str">
        <f t="shared" si="70"/>
        <v>3.46809451352662E-10-1.6527256466545E-10i</v>
      </c>
      <c r="AB78" s="90" t="str">
        <f t="shared" si="80"/>
        <v>5.53346567740829E-15</v>
      </c>
      <c r="AC78" s="90">
        <f t="shared" si="81"/>
        <v>-142.57002779520428</v>
      </c>
      <c r="AD78" s="90" t="str">
        <f t="shared" si="71"/>
        <v>1.898705842794E-14</v>
      </c>
      <c r="AE78" s="63">
        <f t="shared" si="82"/>
        <v>-137.2154231317071</v>
      </c>
      <c r="AF78" s="63" t="str">
        <f t="shared" si="83"/>
        <v>5.11982864290612E-14</v>
      </c>
      <c r="AG78" s="63">
        <f t="shared" si="84"/>
        <v>-132.9074457431434</v>
      </c>
      <c r="AH78" s="116">
        <f t="shared" si="54"/>
        <v>-175</v>
      </c>
      <c r="AI78" s="63" t="str">
        <f t="shared" si="72"/>
        <v>3.55323791205464E-15</v>
      </c>
      <c r="AJ78" s="63">
        <f t="shared" si="85"/>
        <v>-144.49375712737711</v>
      </c>
      <c r="AK78" s="63">
        <f t="shared" si="86"/>
        <v>-118.26297847408519</v>
      </c>
      <c r="AL78" s="49">
        <f t="shared" si="73"/>
        <v>5.7560912720386414E-8</v>
      </c>
    </row>
    <row r="79" spans="1:38" x14ac:dyDescent="0.25">
      <c r="A79" s="49"/>
      <c r="B79" s="49"/>
      <c r="C79" s="49"/>
      <c r="D79" s="49"/>
      <c r="E79" s="68">
        <v>354.81338923357669</v>
      </c>
      <c r="F79" s="61" t="str">
        <f t="shared" si="74"/>
        <v>2229358.274023i</v>
      </c>
      <c r="G79" s="83" t="str">
        <f t="shared" si="55"/>
        <v>380.193609956426-547.728110010221i</v>
      </c>
      <c r="H79" s="62" t="str">
        <f t="shared" si="56"/>
        <v>-0.286636802972058-0.198962731465948i</v>
      </c>
      <c r="I79" s="62" t="str">
        <f t="shared" si="57"/>
        <v>-18.0380706091122-21.7654453599648i</v>
      </c>
      <c r="J79" s="89" t="str">
        <f t="shared" si="58"/>
        <v>-45334.6160884165-54702.5305959806i</v>
      </c>
      <c r="K79" s="89" t="str">
        <f t="shared" si="59"/>
        <v>28.6269011904837-102.639210890315i</v>
      </c>
      <c r="L79" s="89" t="str">
        <f t="shared" si="60"/>
        <v>1.30063451015187+0.36275742266608i</v>
      </c>
      <c r="M79" s="63">
        <f t="shared" si="75"/>
        <v>-164.52059991327963</v>
      </c>
      <c r="N79" s="63">
        <f t="shared" si="61"/>
        <v>-149.51029995663981</v>
      </c>
      <c r="O79" s="63" t="str">
        <f t="shared" si="62"/>
        <v>9.22707624044701E-13+5.04870979341448E-29i</v>
      </c>
      <c r="P79" s="63">
        <f t="shared" si="76"/>
        <v>-120.34935890934413</v>
      </c>
      <c r="Q79" s="63" t="str">
        <f t="shared" si="63"/>
        <v>5.58600432490039E-15</v>
      </c>
      <c r="R79" s="63">
        <f t="shared" si="77"/>
        <v>-142.52898732387314</v>
      </c>
      <c r="S79" s="63" t="str">
        <f t="shared" si="64"/>
        <v>1.59045956472858E-14</v>
      </c>
      <c r="T79" s="63">
        <f t="shared" si="78"/>
        <v>-137.98477367762831</v>
      </c>
      <c r="U79" s="63" t="str">
        <f t="shared" si="65"/>
        <v>5.94659611934249E-14</v>
      </c>
      <c r="V79" s="63">
        <f t="shared" si="79"/>
        <v>-132.25731556892899</v>
      </c>
      <c r="W79" s="63">
        <f t="shared" si="66"/>
        <v>109.08983404943042</v>
      </c>
      <c r="X79" s="63" t="str">
        <f t="shared" si="67"/>
        <v>631.000516789407-365.344269921362i</v>
      </c>
      <c r="Y79" s="90" t="str">
        <f t="shared" si="68"/>
        <v>6.78422840485292E-10-3.34902214404157E-10i</v>
      </c>
      <c r="Z79" s="90" t="str">
        <f t="shared" si="69"/>
        <v>6.31000516789407E-11-3.65344269921362E-11i</v>
      </c>
      <c r="AA79" s="90" t="str">
        <f t="shared" si="70"/>
        <v>3.39211420242646E-10-1.67451107202078E-10i</v>
      </c>
      <c r="AB79" s="90" t="str">
        <f t="shared" si="80"/>
        <v>4.09230621947706E-15</v>
      </c>
      <c r="AC79" s="90">
        <f t="shared" si="81"/>
        <v>-143.88031876315367</v>
      </c>
      <c r="AD79" s="90" t="str">
        <f t="shared" si="71"/>
        <v>1.44825345458625E-14</v>
      </c>
      <c r="AE79" s="63">
        <f t="shared" si="82"/>
        <v>-138.39155426884867</v>
      </c>
      <c r="AF79" s="63" t="str">
        <f t="shared" si="83"/>
        <v>5.77040454404961E-14</v>
      </c>
      <c r="AG79" s="63">
        <f t="shared" si="84"/>
        <v>-132.38793738821786</v>
      </c>
      <c r="AH79" s="116">
        <f t="shared" si="54"/>
        <v>-175</v>
      </c>
      <c r="AI79" s="63" t="str">
        <f t="shared" si="72"/>
        <v>2.52699695881347E-15+1.97215226305253E-31i</v>
      </c>
      <c r="AJ79" s="63">
        <f t="shared" si="85"/>
        <v>-145.97395280743848</v>
      </c>
      <c r="AK79" s="63">
        <f t="shared" si="86"/>
        <v>-119.65584103583659</v>
      </c>
      <c r="AL79" s="49">
        <f t="shared" si="73"/>
        <v>4.6864222425586338E-8</v>
      </c>
    </row>
    <row r="80" spans="1:38" x14ac:dyDescent="0.25">
      <c r="A80" s="49"/>
      <c r="B80" s="49"/>
      <c r="C80" s="49"/>
      <c r="D80" s="49"/>
      <c r="E80" s="68">
        <v>398.10717055349869</v>
      </c>
      <c r="F80" s="61" t="str">
        <f t="shared" si="74"/>
        <v>2501381.12470458i</v>
      </c>
      <c r="G80" s="83" t="str">
        <f t="shared" si="55"/>
        <v>328.510017741378-549.162133675091i</v>
      </c>
      <c r="H80" s="62" t="str">
        <f t="shared" si="56"/>
        <v>-0.25613416109468-0.153220028559305i</v>
      </c>
      <c r="I80" s="62" t="str">
        <f t="shared" si="57"/>
        <v>-17.3768424748194-15.9379304623904i</v>
      </c>
      <c r="J80" s="89" t="str">
        <f t="shared" si="58"/>
        <v>-43672.7685291836-40056.3882032562i</v>
      </c>
      <c r="K80" s="89" t="str">
        <f t="shared" si="59"/>
        <v>18.68265992825-90.7021923385911i</v>
      </c>
      <c r="L80" s="89" t="str">
        <f t="shared" si="60"/>
        <v>1.28961404124699+0.265632174373173i</v>
      </c>
      <c r="M80" s="63">
        <f t="shared" si="75"/>
        <v>-165.02059991327963</v>
      </c>
      <c r="N80" s="63">
        <f t="shared" si="61"/>
        <v>-149.51029995663981</v>
      </c>
      <c r="O80" s="63" t="str">
        <f t="shared" si="62"/>
        <v>6.39831640728642E-13</v>
      </c>
      <c r="P80" s="63">
        <f t="shared" si="76"/>
        <v>-121.93934287143315</v>
      </c>
      <c r="Q80" s="63" t="str">
        <f t="shared" si="63"/>
        <v>3.8864196078956E-15</v>
      </c>
      <c r="R80" s="63">
        <f t="shared" si="77"/>
        <v>-144.10450311416216</v>
      </c>
      <c r="S80" s="63" t="str">
        <f t="shared" si="64"/>
        <v>1.10655002724805E-14</v>
      </c>
      <c r="T80" s="63">
        <f t="shared" si="78"/>
        <v>-139.5602894679173</v>
      </c>
      <c r="U80" s="63" t="str">
        <f t="shared" si="65"/>
        <v>4.3512464851348E-14</v>
      </c>
      <c r="V80" s="63">
        <f t="shared" si="79"/>
        <v>-133.61386314523438</v>
      </c>
      <c r="W80" s="63">
        <f t="shared" si="66"/>
        <v>109.08983404943042</v>
      </c>
      <c r="X80" s="63" t="str">
        <f t="shared" si="67"/>
        <v>611.299994803776-372.181688069311i</v>
      </c>
      <c r="Y80" s="90" t="str">
        <f t="shared" si="68"/>
        <v>6.60363850701969E-10-3.41169909471738E-10i</v>
      </c>
      <c r="Z80" s="90" t="str">
        <f t="shared" si="69"/>
        <v>6.11299994803776E-11-3.72181688069311E-11i</v>
      </c>
      <c r="AA80" s="90" t="str">
        <f t="shared" si="70"/>
        <v>3.30181925350985E-10-1.70584954735869E-10i</v>
      </c>
      <c r="AB80" s="90" t="str">
        <f t="shared" si="80"/>
        <v>2.98321734776949E-15</v>
      </c>
      <c r="AC80" s="90">
        <f t="shared" si="81"/>
        <v>-145.25315104164497</v>
      </c>
      <c r="AD80" s="90" t="str">
        <f t="shared" si="71"/>
        <v>1.09386855574253E-14</v>
      </c>
      <c r="AE80" s="63">
        <f t="shared" si="82"/>
        <v>-139.610348616821</v>
      </c>
      <c r="AF80" s="63" t="str">
        <f t="shared" si="83"/>
        <v>6.36234803136053E-14</v>
      </c>
      <c r="AG80" s="63">
        <f t="shared" si="84"/>
        <v>-131.96382577925087</v>
      </c>
      <c r="AH80" s="116">
        <f t="shared" si="54"/>
        <v>-175</v>
      </c>
      <c r="AI80" s="63" t="str">
        <f t="shared" si="72"/>
        <v>1.75813872646804E-15</v>
      </c>
      <c r="AJ80" s="63">
        <f t="shared" si="85"/>
        <v>-147.54946859772741</v>
      </c>
      <c r="AK80" s="63">
        <f t="shared" si="86"/>
        <v>-121.09244000858651</v>
      </c>
      <c r="AL80" s="49">
        <f t="shared" si="73"/>
        <v>3.7773003448774633E-8</v>
      </c>
    </row>
    <row r="81" spans="1:38" x14ac:dyDescent="0.25">
      <c r="A81" s="49"/>
      <c r="B81" s="49"/>
      <c r="C81" s="49"/>
      <c r="D81" s="49"/>
      <c r="E81" s="68">
        <v>446.68359215096467</v>
      </c>
      <c r="F81" s="61" t="str">
        <f t="shared" si="74"/>
        <v>2806595.78316114i</v>
      </c>
      <c r="G81" s="83" t="str">
        <f t="shared" si="55"/>
        <v>272.343532092452-545.480045671213i</v>
      </c>
      <c r="H81" s="62" t="str">
        <f t="shared" si="56"/>
        <v>-0.226749213561358-0.113209790551547i</v>
      </c>
      <c r="I81" s="62" t="str">
        <f t="shared" si="57"/>
        <v>-15.9661411836786-11.1220202853242i</v>
      </c>
      <c r="J81" s="89" t="str">
        <f t="shared" si="58"/>
        <v>-40127.2894790579-27952.6857771611i</v>
      </c>
      <c r="K81" s="89" t="str">
        <f t="shared" si="59"/>
        <v>11.6195808942926-79.3646028389049i</v>
      </c>
      <c r="L81" s="89" t="str">
        <f t="shared" si="60"/>
        <v>1.26610235306131+0.185367004755404i</v>
      </c>
      <c r="M81" s="63">
        <f t="shared" si="75"/>
        <v>-165.52059991327963</v>
      </c>
      <c r="N81" s="63">
        <f t="shared" si="61"/>
        <v>-149.51029995663981</v>
      </c>
      <c r="O81" s="63" t="str">
        <f t="shared" si="62"/>
        <v>4.34429321642674E-13</v>
      </c>
      <c r="P81" s="63">
        <f t="shared" si="76"/>
        <v>-123.62080869888229</v>
      </c>
      <c r="Q81" s="63" t="str">
        <f t="shared" si="63"/>
        <v>2.64665088342272E-15</v>
      </c>
      <c r="R81" s="63">
        <f t="shared" si="77"/>
        <v>-145.7730334219037</v>
      </c>
      <c r="S81" s="63" t="str">
        <f t="shared" si="64"/>
        <v>7.53560320974523E-15+3.94430452610506E-31i</v>
      </c>
      <c r="T81" s="63">
        <f t="shared" si="78"/>
        <v>-141.22881977565885</v>
      </c>
      <c r="U81" s="63" t="str">
        <f t="shared" si="65"/>
        <v>3.14089897507185E-14</v>
      </c>
      <c r="V81" s="63">
        <f t="shared" si="79"/>
        <v>-135.02946032170237</v>
      </c>
      <c r="W81" s="63">
        <f t="shared" si="66"/>
        <v>109.08983404943042</v>
      </c>
      <c r="X81" s="63" t="str">
        <f t="shared" si="67"/>
        <v>588.181508996003-380.412072301052i</v>
      </c>
      <c r="Y81" s="90" t="str">
        <f t="shared" si="68"/>
        <v>6.391716965391E-10-3.48714502699382E-10i</v>
      </c>
      <c r="Z81" s="90" t="str">
        <f t="shared" si="69"/>
        <v>5.88181508996003E-11-3.80412072301052E-11i</v>
      </c>
      <c r="AA81" s="90" t="str">
        <f t="shared" si="70"/>
        <v>3.1958584826955E-10-1.74357251349691E-10i</v>
      </c>
      <c r="AB81" s="90" t="str">
        <f t="shared" si="80"/>
        <v>2.14753762074254E-15-4.93038065763132E-32i</v>
      </c>
      <c r="AC81" s="90">
        <f t="shared" si="81"/>
        <v>-146.68059219423247</v>
      </c>
      <c r="AD81" s="90" t="str">
        <f t="shared" si="71"/>
        <v>8.20631995400016E-15</v>
      </c>
      <c r="AE81" s="63">
        <f t="shared" si="82"/>
        <v>-140.85851554448334</v>
      </c>
      <c r="AF81" s="63" t="str">
        <f t="shared" si="83"/>
        <v>6.86621634289181E-14</v>
      </c>
      <c r="AG81" s="63">
        <f t="shared" si="84"/>
        <v>-131.63282516808334</v>
      </c>
      <c r="AH81" s="116">
        <f t="shared" si="54"/>
        <v>-175</v>
      </c>
      <c r="AI81" s="63" t="str">
        <f t="shared" si="72"/>
        <v>1.19729207935574E-15</v>
      </c>
      <c r="AJ81" s="63">
        <f t="shared" si="85"/>
        <v>-149.21799890546905</v>
      </c>
      <c r="AK81" s="63">
        <f t="shared" si="86"/>
        <v>-122.54742563066714</v>
      </c>
      <c r="AL81" s="49">
        <f t="shared" si="73"/>
        <v>3.0316771894533267E-8</v>
      </c>
    </row>
    <row r="82" spans="1:38" x14ac:dyDescent="0.25">
      <c r="A82" s="49"/>
      <c r="B82" s="49"/>
      <c r="C82" s="49"/>
      <c r="D82" s="49"/>
      <c r="E82" s="68">
        <v>501.18723362727405</v>
      </c>
      <c r="F82" s="61" t="str">
        <f t="shared" si="74"/>
        <v>3149052.26247287i</v>
      </c>
      <c r="G82" s="83" t="str">
        <f t="shared" si="55"/>
        <v>213.191747592186-534.992719511915i</v>
      </c>
      <c r="H82" s="62" t="str">
        <f t="shared" si="56"/>
        <v>-0.198205085448078-0.0789836702579525i</v>
      </c>
      <c r="I82" s="62" t="str">
        <f t="shared" si="57"/>
        <v>-14.1129162928284-7.30075738332576i</v>
      </c>
      <c r="J82" s="89" t="str">
        <f t="shared" si="58"/>
        <v>-35469.627317022-18348.8046088781i</v>
      </c>
      <c r="K82" s="89" t="str">
        <f t="shared" si="59"/>
        <v>6.79789883625098-69.0081975013775i</v>
      </c>
      <c r="L82" s="89" t="str">
        <f t="shared" si="60"/>
        <v>1.23521527154714+0.121679289722096i</v>
      </c>
      <c r="M82" s="63">
        <f t="shared" si="75"/>
        <v>-166.02059991327965</v>
      </c>
      <c r="N82" s="63">
        <f t="shared" si="61"/>
        <v>-149.51029995663981</v>
      </c>
      <c r="O82" s="63" t="str">
        <f t="shared" si="62"/>
        <v>2.88922966466962E-13</v>
      </c>
      <c r="P82" s="63">
        <f t="shared" si="76"/>
        <v>-125.39217934744812</v>
      </c>
      <c r="Q82" s="63" t="str">
        <f t="shared" si="63"/>
        <v>1.76488222245876E-15</v>
      </c>
      <c r="R82" s="63">
        <f t="shared" si="77"/>
        <v>-147.5328427149029</v>
      </c>
      <c r="S82" s="63" t="str">
        <f t="shared" si="64"/>
        <v>5.02501188338953E-15</v>
      </c>
      <c r="T82" s="63">
        <f t="shared" si="78"/>
        <v>-142.98862906865801</v>
      </c>
      <c r="U82" s="63" t="str">
        <f t="shared" si="65"/>
        <v>2.24070628530165E-14-3.94430452610506E-31i</v>
      </c>
      <c r="V82" s="63">
        <f t="shared" si="79"/>
        <v>-136.49615067620522</v>
      </c>
      <c r="W82" s="63">
        <f t="shared" si="66"/>
        <v>109.08983404943042</v>
      </c>
      <c r="X82" s="63" t="str">
        <f t="shared" si="67"/>
        <v>561.45043452256-389.233950230146i</v>
      </c>
      <c r="Y82" s="90" t="str">
        <f t="shared" si="68"/>
        <v>6.1466797013199E-10-3.56801303826145E-10i</v>
      </c>
      <c r="Z82" s="90" t="str">
        <f t="shared" si="69"/>
        <v>5.6145043452256E-11-3.89233950230146E-11i</v>
      </c>
      <c r="AA82" s="90" t="str">
        <f t="shared" si="70"/>
        <v>3.07333985065995E-10-1.78400651913073E-10i</v>
      </c>
      <c r="AB82" s="90" t="str">
        <f t="shared" si="80"/>
        <v>1.52922645933877E-15-2.46519032881566E-32i</v>
      </c>
      <c r="AC82" s="90">
        <f t="shared" si="81"/>
        <v>-148.15528196236707</v>
      </c>
      <c r="AD82" s="90" t="str">
        <f t="shared" si="71"/>
        <v>6.13309024359315E-15</v>
      </c>
      <c r="AE82" s="63">
        <f t="shared" si="82"/>
        <v>-142.12320644964197</v>
      </c>
      <c r="AF82" s="63" t="str">
        <f t="shared" si="83"/>
        <v>7.25566962073127E-14</v>
      </c>
      <c r="AG82" s="63">
        <f t="shared" si="84"/>
        <v>-131.39322500639244</v>
      </c>
      <c r="AH82" s="116">
        <f t="shared" si="54"/>
        <v>-175</v>
      </c>
      <c r="AI82" s="63" t="str">
        <f t="shared" si="72"/>
        <v>7.98397521630415E-16</v>
      </c>
      <c r="AJ82" s="63">
        <f t="shared" si="85"/>
        <v>-150.97780819846821</v>
      </c>
      <c r="AK82" s="63">
        <f t="shared" si="86"/>
        <v>-123.98877647986284</v>
      </c>
      <c r="AL82" s="49">
        <f t="shared" si="73"/>
        <v>2.4408881060976455E-8</v>
      </c>
    </row>
    <row r="83" spans="1:38" x14ac:dyDescent="0.25">
      <c r="A83" s="49"/>
      <c r="B83" s="49"/>
      <c r="C83" s="49"/>
      <c r="D83" s="49"/>
      <c r="E83" s="68">
        <v>562.3413251903512</v>
      </c>
      <c r="F83" s="61" t="str">
        <f t="shared" si="74"/>
        <v>3533294.75205591i</v>
      </c>
      <c r="G83" s="83" t="str">
        <f t="shared" si="55"/>
        <v>153.147505170292-516.435543352566i</v>
      </c>
      <c r="H83" s="62" t="str">
        <f t="shared" si="56"/>
        <v>-0.170523031955018-0.0505681246268448i</v>
      </c>
      <c r="I83" s="62" t="str">
        <f t="shared" si="57"/>
        <v>-12.0668956749608-4.39347673576829i</v>
      </c>
      <c r="J83" s="89" t="str">
        <f t="shared" si="58"/>
        <v>-30327.4166432731-11042.0113894459i</v>
      </c>
      <c r="K83" s="89" t="str">
        <f t="shared" si="59"/>
        <v>3.64598696826081-59.8057024712959i</v>
      </c>
      <c r="L83" s="89" t="str">
        <f t="shared" si="60"/>
        <v>1.20111492791601+0.0732246122628047i</v>
      </c>
      <c r="M83" s="63">
        <f t="shared" si="75"/>
        <v>-166.52059991327963</v>
      </c>
      <c r="N83" s="63">
        <f t="shared" si="61"/>
        <v>-149.51029995663981</v>
      </c>
      <c r="O83" s="63" t="str">
        <f t="shared" si="62"/>
        <v>1.88271134895768E-13</v>
      </c>
      <c r="P83" s="63">
        <f t="shared" si="76"/>
        <v>-127.25216259465141</v>
      </c>
      <c r="Q83" s="63" t="str">
        <f t="shared" si="63"/>
        <v>1.15279055879579E-15-4.93038065763132E-32i</v>
      </c>
      <c r="R83" s="63">
        <f t="shared" si="77"/>
        <v>-149.38249588994623</v>
      </c>
      <c r="S83" s="63" t="str">
        <f t="shared" si="64"/>
        <v>3.28225089657136E-15-1.97215226305253E-31i</v>
      </c>
      <c r="T83" s="63">
        <f t="shared" si="78"/>
        <v>-144.83828224370137</v>
      </c>
      <c r="U83" s="63" t="str">
        <f t="shared" si="65"/>
        <v>1.582423619631E-14</v>
      </c>
      <c r="V83" s="63">
        <f t="shared" si="79"/>
        <v>-138.00677243315872</v>
      </c>
      <c r="W83" s="63">
        <f t="shared" si="66"/>
        <v>109.08983404943042</v>
      </c>
      <c r="X83" s="63" t="str">
        <f t="shared" si="67"/>
        <v>531.065841952103-397.752170696726i</v>
      </c>
      <c r="Y83" s="90" t="str">
        <f t="shared" si="68"/>
        <v>5.86815152465507E-10-3.64609749535871E-10i</v>
      </c>
      <c r="Z83" s="90" t="str">
        <f t="shared" si="69"/>
        <v>5.31065841952103E-11-3.97752170696726E-11i</v>
      </c>
      <c r="AA83" s="90" t="str">
        <f t="shared" si="70"/>
        <v>2.93407576232753E-10-1.82304874767936E-10i</v>
      </c>
      <c r="AB83" s="90" t="str">
        <f t="shared" si="80"/>
        <v>1.07883143708706E-15</v>
      </c>
      <c r="AC83" s="90">
        <f t="shared" si="81"/>
        <v>-149.67046406718114</v>
      </c>
      <c r="AD83" s="90" t="str">
        <f t="shared" si="71"/>
        <v>4.57910110849217E-15</v>
      </c>
      <c r="AE83" s="63">
        <f t="shared" si="82"/>
        <v>-143.39219766960304</v>
      </c>
      <c r="AF83" s="63" t="str">
        <f t="shared" si="83"/>
        <v>7.50996365939859E-14+3.15544362088405E-30i</v>
      </c>
      <c r="AG83" s="63">
        <f t="shared" si="84"/>
        <v>-131.24362164535225</v>
      </c>
      <c r="AH83" s="116">
        <f t="shared" si="54"/>
        <v>-175</v>
      </c>
      <c r="AI83" s="63" t="str">
        <f t="shared" si="72"/>
        <v>5.21499459504588E-16-2.46519032881566E-32i</v>
      </c>
      <c r="AJ83" s="63">
        <f t="shared" si="85"/>
        <v>-152.82746137351154</v>
      </c>
      <c r="AK83" s="63">
        <f t="shared" si="86"/>
        <v>-125.37887410644488</v>
      </c>
      <c r="AL83" s="49">
        <f t="shared" si="73"/>
        <v>1.9885572948729049E-8</v>
      </c>
    </row>
    <row r="84" spans="1:38" x14ac:dyDescent="0.25">
      <c r="A84" s="49"/>
      <c r="B84" s="49"/>
      <c r="C84" s="49"/>
      <c r="D84" s="49"/>
      <c r="E84" s="68">
        <v>630.9573444801955</v>
      </c>
      <c r="F84" s="61" t="str">
        <f t="shared" si="74"/>
        <v>3964421.91629501i</v>
      </c>
      <c r="G84" s="83" t="str">
        <f t="shared" si="55"/>
        <v>94.7562420393011-489.235222400555i</v>
      </c>
      <c r="H84" s="62" t="str">
        <f t="shared" si="56"/>
        <v>-0.143974187961155-0.0278852633195928i</v>
      </c>
      <c r="I84" s="62" t="str">
        <f t="shared" si="57"/>
        <v>-10.0170459745512-2.28082347097706i</v>
      </c>
      <c r="J84" s="89" t="str">
        <f t="shared" si="58"/>
        <v>-25175.5824354569-5732.33460844537i</v>
      </c>
      <c r="K84" s="89" t="str">
        <f t="shared" si="59"/>
        <v>1.68693540976663-51.7857851099413i</v>
      </c>
      <c r="L84" s="89" t="str">
        <f t="shared" si="60"/>
        <v>1.16695076624252+0.0380137245162843i</v>
      </c>
      <c r="M84" s="63">
        <f t="shared" si="75"/>
        <v>-167.02059991327963</v>
      </c>
      <c r="N84" s="63">
        <f t="shared" si="61"/>
        <v>-149.51029995663981</v>
      </c>
      <c r="O84" s="63" t="str">
        <f t="shared" si="62"/>
        <v>1.20236983868871E-13</v>
      </c>
      <c r="P84" s="63">
        <f t="shared" si="76"/>
        <v>-129.19961926512426</v>
      </c>
      <c r="Q84" s="63" t="str">
        <f t="shared" si="63"/>
        <v>7.37781036203951E-16</v>
      </c>
      <c r="R84" s="63">
        <f t="shared" si="77"/>
        <v>-151.32072511995941</v>
      </c>
      <c r="S84" s="63" t="str">
        <f t="shared" si="64"/>
        <v>2.10062656141403E-15</v>
      </c>
      <c r="T84" s="63">
        <f t="shared" si="78"/>
        <v>-146.77651147371455</v>
      </c>
      <c r="U84" s="63" t="str">
        <f t="shared" si="65"/>
        <v>1.10785737669991E-14-4.93038065763132E-32i</v>
      </c>
      <c r="V84" s="63">
        <f t="shared" si="79"/>
        <v>-139.5551614619522</v>
      </c>
      <c r="W84" s="63">
        <f t="shared" si="66"/>
        <v>109.08983404943042</v>
      </c>
      <c r="X84" s="63" t="str">
        <f t="shared" si="67"/>
        <v>497.19187804194-405.01874028189i</v>
      </c>
      <c r="Y84" s="90" t="str">
        <f t="shared" si="68"/>
        <v>5.55763712883323E-10-3.71270837297607E-10i</v>
      </c>
      <c r="Z84" s="90" t="str">
        <f t="shared" si="69"/>
        <v>4.9719187804194E-11-4.0501874028189E-11i</v>
      </c>
      <c r="AA84" s="90" t="str">
        <f t="shared" si="70"/>
        <v>2.77881856441662E-10-1.85635418648804E-10i</v>
      </c>
      <c r="AB84" s="90" t="str">
        <f t="shared" si="80"/>
        <v>7.55056311503628E-16-3.08148791101958E-33i</v>
      </c>
      <c r="AC84" s="90">
        <f t="shared" si="81"/>
        <v>-151.22020657823361</v>
      </c>
      <c r="AD84" s="90" t="str">
        <f t="shared" si="71"/>
        <v>3.42425164608384E-15</v>
      </c>
      <c r="AE84" s="63">
        <f t="shared" si="82"/>
        <v>-144.65434326795781</v>
      </c>
      <c r="AF84" s="63" t="str">
        <f t="shared" si="83"/>
        <v>7.61590142304854E-14</v>
      </c>
      <c r="AG84" s="63">
        <f t="shared" si="84"/>
        <v>-131.18278685908132</v>
      </c>
      <c r="AH84" s="116">
        <f t="shared" si="54"/>
        <v>-175</v>
      </c>
      <c r="AI84" s="63" t="str">
        <f t="shared" si="72"/>
        <v>3.33757427728254E-16-1.23259516440783E-32i</v>
      </c>
      <c r="AJ84" s="63">
        <f t="shared" si="85"/>
        <v>-154.76569060352466</v>
      </c>
      <c r="AK84" s="63">
        <f t="shared" si="86"/>
        <v>-126.6791306725257</v>
      </c>
      <c r="AL84" s="49">
        <f t="shared" si="73"/>
        <v>1.6539122043681803E-8</v>
      </c>
    </row>
    <row r="85" spans="1:38" x14ac:dyDescent="0.25">
      <c r="A85" s="49"/>
      <c r="B85" s="49"/>
      <c r="C85" s="49"/>
      <c r="D85" s="49"/>
      <c r="E85" s="68">
        <v>707.94578438414078</v>
      </c>
      <c r="F85" s="61" t="str">
        <f t="shared" si="74"/>
        <v>4448154.55072216i</v>
      </c>
      <c r="G85" s="83" t="str">
        <f t="shared" si="55"/>
        <v>40.7353778578286-453.712288588726i</v>
      </c>
      <c r="H85" s="62" t="str">
        <f t="shared" si="56"/>
        <v>-0.119000137544136-0.0106841178648085i</v>
      </c>
      <c r="I85" s="62" t="str">
        <f t="shared" si="57"/>
        <v>-8.09442273750187-0.825799037511218i</v>
      </c>
      <c r="J85" s="89" t="str">
        <f t="shared" si="58"/>
        <v>-20343.5032057488-2075.45935166941i</v>
      </c>
      <c r="K85" s="89" t="str">
        <f t="shared" si="59"/>
        <v>0.544353667572364-44.8867667248627i</v>
      </c>
      <c r="L85" s="89" t="str">
        <f t="shared" si="60"/>
        <v>1.13490704562503+0.0137633172918536i</v>
      </c>
      <c r="M85" s="63">
        <f t="shared" si="75"/>
        <v>-167.52059991327963</v>
      </c>
      <c r="N85" s="63">
        <f t="shared" si="61"/>
        <v>-149.51029995663981</v>
      </c>
      <c r="O85" s="63" t="str">
        <f t="shared" si="62"/>
        <v>7.52751659796558E-14</v>
      </c>
      <c r="P85" s="63">
        <f t="shared" si="76"/>
        <v>-131.23348278206845</v>
      </c>
      <c r="Q85" s="63" t="str">
        <f t="shared" si="63"/>
        <v>4.62769990651036E-16+6.16297582203915E-33i</v>
      </c>
      <c r="R85" s="63">
        <f t="shared" si="77"/>
        <v>-153.34634811598474</v>
      </c>
      <c r="S85" s="63" t="str">
        <f t="shared" si="64"/>
        <v>1.3176090011592E-15</v>
      </c>
      <c r="T85" s="63">
        <f t="shared" si="78"/>
        <v>-148.80213446973988</v>
      </c>
      <c r="U85" s="63" t="str">
        <f t="shared" si="65"/>
        <v>7.69764891805176E-15</v>
      </c>
      <c r="V85" s="63">
        <f t="shared" si="79"/>
        <v>-141.1364190051992</v>
      </c>
      <c r="W85" s="63">
        <f t="shared" si="66"/>
        <v>109.08983404943042</v>
      </c>
      <c r="X85" s="63" t="str">
        <f t="shared" si="67"/>
        <v>460.234841039935-410.099113120786i</v>
      </c>
      <c r="Y85" s="90" t="str">
        <f t="shared" si="68"/>
        <v>5.21886095116246E-10-3.75927891626422E-10i</v>
      </c>
      <c r="Z85" s="90" t="str">
        <f t="shared" si="69"/>
        <v>4.60234841039935E-11-4.10099113120786E-11i</v>
      </c>
      <c r="AA85" s="90" t="str">
        <f t="shared" si="70"/>
        <v>2.60943047558123E-10-1.87963945813211E-10i</v>
      </c>
      <c r="AB85" s="90" t="str">
        <f t="shared" si="80"/>
        <v>5.24846155288469E-16</v>
      </c>
      <c r="AC85" s="90">
        <f t="shared" si="81"/>
        <v>-152.79967979833458</v>
      </c>
      <c r="AD85" s="90" t="str">
        <f t="shared" si="71"/>
        <v>2.57030376011178E-15</v>
      </c>
      <c r="AE85" s="63">
        <f t="shared" si="82"/>
        <v>-145.90015548441161</v>
      </c>
      <c r="AF85" s="63" t="str">
        <f t="shared" si="83"/>
        <v>7.5690465861607E-14</v>
      </c>
      <c r="AG85" s="63">
        <f t="shared" si="84"/>
        <v>-131.20958821747797</v>
      </c>
      <c r="AH85" s="116">
        <f t="shared" si="54"/>
        <v>-175</v>
      </c>
      <c r="AI85" s="63" t="str">
        <f t="shared" si="72"/>
        <v>2.0934791507276E-16+3.08148791101958E-33i</v>
      </c>
      <c r="AJ85" s="63">
        <f t="shared" si="85"/>
        <v>-156.79131359955002</v>
      </c>
      <c r="AK85" s="63">
        <f t="shared" si="86"/>
        <v>-127.85823577788983</v>
      </c>
      <c r="AL85" s="49">
        <f t="shared" si="73"/>
        <v>1.4144967090582474E-8</v>
      </c>
    </row>
    <row r="86" spans="1:38" x14ac:dyDescent="0.25">
      <c r="A86" s="49"/>
      <c r="B86" s="49"/>
      <c r="C86" s="49"/>
      <c r="D86" s="49"/>
      <c r="E86" s="68">
        <v>794.3282347242847</v>
      </c>
      <c r="F86" s="61" t="str">
        <f t="shared" si="74"/>
        <v>4990911.49349752i</v>
      </c>
      <c r="G86" s="83" t="str">
        <f t="shared" si="55"/>
        <v>-6.4055335849629-411.140243245876i</v>
      </c>
      <c r="H86" s="62" t="str">
        <f t="shared" si="56"/>
        <v>-0.0961074180027285+0.00149734623135003i</v>
      </c>
      <c r="I86" s="62" t="str">
        <f t="shared" si="57"/>
        <v>-6.37938682685704+0.109960991697595i</v>
      </c>
      <c r="J86" s="89" t="str">
        <f t="shared" si="58"/>
        <v>-16033.1478317293+276.362114958891i</v>
      </c>
      <c r="K86" s="89" t="str">
        <f t="shared" si="59"/>
        <v>-0.0646019204852887-38.9977918846344i</v>
      </c>
      <c r="L86" s="89" t="str">
        <f t="shared" si="60"/>
        <v>1.10632311378095-0.00183268319495992i</v>
      </c>
      <c r="M86" s="63">
        <f t="shared" si="75"/>
        <v>-168.02059991327965</v>
      </c>
      <c r="N86" s="63">
        <f t="shared" si="61"/>
        <v>-149.51029995663981</v>
      </c>
      <c r="O86" s="63" t="str">
        <f t="shared" si="62"/>
        <v>4.62098132804382E-14+9.86076131526265E-32i</v>
      </c>
      <c r="P86" s="63">
        <f t="shared" si="76"/>
        <v>-133.35265786327415</v>
      </c>
      <c r="Q86" s="63" t="str">
        <f t="shared" si="63"/>
        <v>2.84566280656689E-16-7.70371977754894E-34i</v>
      </c>
      <c r="R86" s="63">
        <f t="shared" si="77"/>
        <v>-155.4581656241167</v>
      </c>
      <c r="S86" s="63" t="str">
        <f t="shared" si="64"/>
        <v>8.1022343798085E-16-3.08148791101958E-33i</v>
      </c>
      <c r="T86" s="63">
        <f t="shared" si="78"/>
        <v>-150.91395197787187</v>
      </c>
      <c r="U86" s="63" t="str">
        <f t="shared" si="65"/>
        <v>5.31237961587797E-15</v>
      </c>
      <c r="V86" s="63">
        <f t="shared" si="79"/>
        <v>-142.74710898400886</v>
      </c>
      <c r="W86" s="63">
        <f t="shared" si="66"/>
        <v>109.08983404943042</v>
      </c>
      <c r="X86" s="63" t="str">
        <f t="shared" si="67"/>
        <v>420.852375462603-412.158048853959i</v>
      </c>
      <c r="Y86" s="90" t="str">
        <f t="shared" si="68"/>
        <v>4.85785145911862E-10-3.77815267981069E-10i</v>
      </c>
      <c r="Z86" s="90" t="str">
        <f t="shared" si="69"/>
        <v>4.20852375462603E-11-4.12158048853959E-11i</v>
      </c>
      <c r="AA86" s="90" t="str">
        <f t="shared" si="70"/>
        <v>2.42892572955931E-10-1.88907633990535E-10i</v>
      </c>
      <c r="AB86" s="90" t="str">
        <f t="shared" si="80"/>
        <v>3.62630507774728E-16</v>
      </c>
      <c r="AC86" s="90">
        <f t="shared" si="81"/>
        <v>-154.40535661903843</v>
      </c>
      <c r="AD86" s="90" t="str">
        <f t="shared" si="71"/>
        <v>1.93983666490482E-15</v>
      </c>
      <c r="AE86" s="63">
        <f t="shared" si="82"/>
        <v>-147.12234836315577</v>
      </c>
      <c r="AF86" s="63" t="str">
        <f t="shared" si="83"/>
        <v>7.37413486053167E-14</v>
      </c>
      <c r="AG86" s="63">
        <f t="shared" si="84"/>
        <v>-131.3228892414119</v>
      </c>
      <c r="AH86" s="116">
        <f t="shared" si="54"/>
        <v>-175</v>
      </c>
      <c r="AI86" s="63" t="str">
        <f t="shared" si="72"/>
        <v>1.28732110463078E-16</v>
      </c>
      <c r="AJ86" s="63">
        <f t="shared" si="85"/>
        <v>-158.90313110768207</v>
      </c>
      <c r="AK86" s="63">
        <f t="shared" si="86"/>
        <v>-128.90119439999506</v>
      </c>
      <c r="AL86" s="49">
        <f t="shared" si="73"/>
        <v>1.2482629467226438E-8</v>
      </c>
    </row>
    <row r="87" spans="1:38" x14ac:dyDescent="0.25">
      <c r="A87" s="49"/>
      <c r="B87" s="49"/>
      <c r="C87" s="49"/>
      <c r="D87" s="49"/>
      <c r="E87" s="68">
        <v>891.25093813374917</v>
      </c>
      <c r="F87" s="61" t="str">
        <f t="shared" si="74"/>
        <v>5599894.799492i</v>
      </c>
      <c r="G87" s="83" t="str">
        <f t="shared" si="55"/>
        <v>-44.7560531404532-363.611878196409i</v>
      </c>
      <c r="H87" s="62" t="str">
        <f t="shared" si="56"/>
        <v>-0.0757538977222023+0.0093243529030698i</v>
      </c>
      <c r="I87" s="62" t="str">
        <f t="shared" si="57"/>
        <v>-4.91116779158639+0.654863065527118i</v>
      </c>
      <c r="J87" s="89" t="str">
        <f t="shared" si="58"/>
        <v>-12343.1109236757+1645.85039661383i</v>
      </c>
      <c r="K87" s="89" t="str">
        <f t="shared" si="59"/>
        <v>-0.342891940795683-33.9880464711437i</v>
      </c>
      <c r="L87" s="89" t="str">
        <f t="shared" si="60"/>
        <v>1.08185279652644-0.010914384425452i</v>
      </c>
      <c r="M87" s="63">
        <f t="shared" si="75"/>
        <v>-168.52059991327965</v>
      </c>
      <c r="N87" s="63">
        <f t="shared" si="61"/>
        <v>-149.51029995663981</v>
      </c>
      <c r="O87" s="63" t="str">
        <f t="shared" si="62"/>
        <v>2.78236421682278E-14</v>
      </c>
      <c r="P87" s="63">
        <f t="shared" si="76"/>
        <v>-135.55586020640507</v>
      </c>
      <c r="Q87" s="63" t="str">
        <f t="shared" si="63"/>
        <v>1.71601073287764E-16</v>
      </c>
      <c r="R87" s="63">
        <f t="shared" si="77"/>
        <v>-157.6548000016158</v>
      </c>
      <c r="S87" s="63" t="str">
        <f t="shared" si="64"/>
        <v>4.88586389222106E-16</v>
      </c>
      <c r="T87" s="63">
        <f t="shared" si="78"/>
        <v>-153.11058635537094</v>
      </c>
      <c r="U87" s="63" t="str">
        <f t="shared" si="65"/>
        <v>3.64310638218776E-15-6.16297582203915E-33i</v>
      </c>
      <c r="V87" s="63">
        <f t="shared" si="79"/>
        <v>-144.38528146759032</v>
      </c>
      <c r="W87" s="63">
        <f t="shared" si="66"/>
        <v>109.08983404943042</v>
      </c>
      <c r="X87" s="63" t="str">
        <f t="shared" si="67"/>
        <v>379.92437166419-410.551085287158i</v>
      </c>
      <c r="Y87" s="90" t="str">
        <f t="shared" si="68"/>
        <v>4.48267439376652E-10-3.76342203528452E-10i</v>
      </c>
      <c r="Z87" s="90" t="str">
        <f t="shared" si="69"/>
        <v>3.7992437166419E-11-4.10551085287158E-11i</v>
      </c>
      <c r="AA87" s="90" t="str">
        <f t="shared" si="70"/>
        <v>2.24133719688326E-10-1.88171101764226E-10i</v>
      </c>
      <c r="AB87" s="90" t="str">
        <f t="shared" si="80"/>
        <v>2.49170602737968E-16+3.85185988877447E-34i</v>
      </c>
      <c r="AC87" s="90">
        <f t="shared" si="81"/>
        <v>-156.0350319725278</v>
      </c>
      <c r="AD87" s="90" t="str">
        <f t="shared" si="71"/>
        <v>1.47360316046899E-15</v>
      </c>
      <c r="AE87" s="63">
        <f t="shared" si="82"/>
        <v>-148.31619455705334</v>
      </c>
      <c r="AF87" s="63" t="str">
        <f t="shared" si="83"/>
        <v>7.04467346259767E-14</v>
      </c>
      <c r="AG87" s="63">
        <f t="shared" si="84"/>
        <v>-131.52139132672241</v>
      </c>
      <c r="AH87" s="116">
        <f t="shared" si="54"/>
        <v>-175</v>
      </c>
      <c r="AI87" s="63" t="str">
        <f t="shared" si="72"/>
        <v>7.762890343538E-17</v>
      </c>
      <c r="AJ87" s="63">
        <f t="shared" si="85"/>
        <v>-161.09976548518114</v>
      </c>
      <c r="AK87" s="63">
        <f t="shared" si="86"/>
        <v>-129.81407367413254</v>
      </c>
      <c r="AL87" s="49">
        <f t="shared" si="73"/>
        <v>1.1350582555137176E-8</v>
      </c>
    </row>
    <row r="88" spans="1:38" x14ac:dyDescent="0.25">
      <c r="A88" s="49"/>
      <c r="B88" s="49"/>
      <c r="C88" s="49"/>
      <c r="D88" s="49"/>
      <c r="E88" s="68">
        <v>1000</v>
      </c>
      <c r="F88" s="61" t="str">
        <f t="shared" si="74"/>
        <v>6283185.30717959i</v>
      </c>
      <c r="G88" s="83" t="str">
        <f t="shared" si="55"/>
        <v>-73.2971841839463-313.724553385912i</v>
      </c>
      <c r="H88" s="62" t="str">
        <f t="shared" si="56"/>
        <v>-0.0582526156807758+0.0136098773738575i</v>
      </c>
      <c r="I88" s="62" t="str">
        <f t="shared" si="57"/>
        <v>-3.69804946454701+0.920546907378012i</v>
      </c>
      <c r="J88" s="89" t="str">
        <f t="shared" si="58"/>
        <v>-9294.21202434605+2313.58672120285i</v>
      </c>
      <c r="K88" s="89" t="str">
        <f t="shared" si="59"/>
        <v>-0.429588556776406-29.7257564167886i</v>
      </c>
      <c r="L88" s="89" t="str">
        <f t="shared" si="60"/>
        <v>1.06163415774245-0.0153424484563002i</v>
      </c>
      <c r="M88" s="63">
        <f t="shared" si="75"/>
        <v>-169.02059991327963</v>
      </c>
      <c r="N88" s="63">
        <f t="shared" si="61"/>
        <v>-149.51029995663981</v>
      </c>
      <c r="O88" s="63" t="str">
        <f t="shared" si="62"/>
        <v>1.64384154475887E-14</v>
      </c>
      <c r="P88" s="63">
        <f t="shared" si="76"/>
        <v>-137.84140047838216</v>
      </c>
      <c r="Q88" s="63" t="str">
        <f t="shared" si="63"/>
        <v>1.01520133808161E-16</v>
      </c>
      <c r="R88" s="63">
        <f t="shared" si="77"/>
        <v>-159.93447818493064</v>
      </c>
      <c r="S88" s="63" t="str">
        <f t="shared" si="64"/>
        <v>2.89050380981569E-16</v>
      </c>
      <c r="T88" s="63">
        <f t="shared" si="78"/>
        <v>-155.39026453868578</v>
      </c>
      <c r="U88" s="63" t="str">
        <f t="shared" si="65"/>
        <v>2.48297406964301E-15</v>
      </c>
      <c r="V88" s="63">
        <f t="shared" si="79"/>
        <v>-146.05027815874254</v>
      </c>
      <c r="W88" s="63">
        <f t="shared" si="66"/>
        <v>109.08983404943042</v>
      </c>
      <c r="X88" s="63" t="str">
        <f t="shared" si="67"/>
        <v>338.483550875611-404.901890464118i</v>
      </c>
      <c r="Y88" s="90" t="str">
        <f t="shared" si="68"/>
        <v>4.10279645967963E-10-3.71163723909095E-10i</v>
      </c>
      <c r="Z88" s="90" t="str">
        <f t="shared" si="69"/>
        <v>3.38483550875611E-11-4.04901890464118E-11i</v>
      </c>
      <c r="AA88" s="90" t="str">
        <f t="shared" si="70"/>
        <v>2.05139822983982E-10-1.85581861954548E-10i</v>
      </c>
      <c r="AB88" s="90" t="str">
        <f t="shared" si="80"/>
        <v>1.70309267816602E-16+3.85185988877447E-34i</v>
      </c>
      <c r="AC88" s="90">
        <f t="shared" si="81"/>
        <v>-157.68761718143722</v>
      </c>
      <c r="AD88" s="90" t="str">
        <f t="shared" si="71"/>
        <v>1.12730247561016E-15</v>
      </c>
      <c r="AE88" s="63">
        <f t="shared" si="82"/>
        <v>-149.47959539266026</v>
      </c>
      <c r="AF88" s="63" t="str">
        <f t="shared" si="83"/>
        <v>6.60173225992718E-14</v>
      </c>
      <c r="AG88" s="63">
        <f t="shared" si="84"/>
        <v>-131.8034209290999</v>
      </c>
      <c r="AH88" s="116">
        <v>-175</v>
      </c>
      <c r="AI88" s="63" t="str">
        <f t="shared" si="72"/>
        <v>4.59256839898945E-17</v>
      </c>
      <c r="AJ88" s="63">
        <f t="shared" si="85"/>
        <v>-163.37944366849595</v>
      </c>
      <c r="AK88" s="63">
        <f t="shared" si="86"/>
        <v>-130.62117072641036</v>
      </c>
      <c r="AL88" s="49">
        <f t="shared" si="73"/>
        <v>1.0575683533556218E-8</v>
      </c>
    </row>
    <row r="89" spans="1:38" x14ac:dyDescent="0.25">
      <c r="A89" s="49"/>
      <c r="B89" s="49"/>
      <c r="C89" s="49"/>
      <c r="D89" s="49"/>
      <c r="E89" s="68">
        <v>1122.0184543019659</v>
      </c>
      <c r="F89" s="61" t="str">
        <f t="shared" si="74"/>
        <v>7049849.86645446i</v>
      </c>
      <c r="G89" s="83" t="str">
        <f t="shared" si="55"/>
        <v>-92.0080738887397-264.163142778493i</v>
      </c>
      <c r="H89" s="62" t="str">
        <f t="shared" si="56"/>
        <v>-0.0437158718383562+0.0152262466440554i</v>
      </c>
      <c r="I89" s="62" t="str">
        <f t="shared" si="57"/>
        <v>-2.72695624960668+0.998757669358639i</v>
      </c>
      <c r="J89" s="89" t="str">
        <f t="shared" si="58"/>
        <v>-6853.5885763401+2510.15180541884i</v>
      </c>
      <c r="K89" s="89" t="str">
        <f t="shared" si="59"/>
        <v>-0.415400397899274-26.0892140150769i</v>
      </c>
      <c r="L89" s="89" t="str">
        <f t="shared" si="60"/>
        <v>1.04544927082678-0.0166459611559773i</v>
      </c>
      <c r="M89" s="63">
        <f t="shared" si="75"/>
        <v>-169.52059991327963</v>
      </c>
      <c r="N89" s="63">
        <f t="shared" si="61"/>
        <v>-149.51029995663981</v>
      </c>
      <c r="O89" s="63" t="str">
        <f t="shared" si="62"/>
        <v>9.53465238944156E-15</v>
      </c>
      <c r="P89" s="63">
        <f t="shared" si="76"/>
        <v>-140.2069513566457</v>
      </c>
      <c r="Q89" s="63" t="str">
        <f t="shared" si="63"/>
        <v>5.89549425623856E-17-3.08148791101958E-33i</v>
      </c>
      <c r="R89" s="63">
        <f t="shared" si="77"/>
        <v>-162.29479779413853</v>
      </c>
      <c r="S89" s="63" t="str">
        <f t="shared" si="64"/>
        <v>1.67857822573459E-16+6.16297582203915E-33i</v>
      </c>
      <c r="T89" s="63">
        <f t="shared" si="78"/>
        <v>-157.75058414789368</v>
      </c>
      <c r="U89" s="63" t="str">
        <f t="shared" si="65"/>
        <v>1.68176526097646E-15</v>
      </c>
      <c r="V89" s="63">
        <f t="shared" si="79"/>
        <v>-147.74234622674271</v>
      </c>
      <c r="W89" s="63">
        <f t="shared" si="66"/>
        <v>109.08983404943042</v>
      </c>
      <c r="X89" s="63" t="str">
        <f t="shared" si="67"/>
        <v>297.615267074214-395.145867565945i</v>
      </c>
      <c r="Y89" s="90" t="str">
        <f t="shared" si="68"/>
        <v>3.72816683302827E-10-3.62220614788815E-10i</v>
      </c>
      <c r="Z89" s="90" t="str">
        <f t="shared" si="69"/>
        <v>2.97615267074214E-11-3.95145867565945E-11i</v>
      </c>
      <c r="AA89" s="90" t="str">
        <f t="shared" si="70"/>
        <v>1.86408341651413E-10-1.81110307394408E-10i</v>
      </c>
      <c r="AB89" s="90" t="str">
        <f t="shared" si="80"/>
        <v>1.15804772427661E-16</v>
      </c>
      <c r="AC89" s="90">
        <f t="shared" si="81"/>
        <v>-159.36273542540445</v>
      </c>
      <c r="AD89" s="90" t="str">
        <f t="shared" si="71"/>
        <v>8.68392404866145E-16-1.54074395550979E-33i</v>
      </c>
      <c r="AE89" s="63">
        <f t="shared" si="82"/>
        <v>-150.61283983627507</v>
      </c>
      <c r="AF89" s="63" t="str">
        <f t="shared" si="83"/>
        <v>6.07197398159597E-14</v>
      </c>
      <c r="AG89" s="63">
        <f t="shared" si="84"/>
        <v>-132.16670098060123</v>
      </c>
      <c r="AH89" s="116">
        <f>AH88-(($AH$88-$AH$108)/20)</f>
        <v>-175</v>
      </c>
      <c r="AI89" s="63" t="str">
        <f t="shared" si="72"/>
        <v>2.66700403180995E-17</v>
      </c>
      <c r="AJ89" s="63">
        <f t="shared" si="85"/>
        <v>-165.73976327770382</v>
      </c>
      <c r="AK89" s="63">
        <f t="shared" si="86"/>
        <v>-131.35644168702035</v>
      </c>
      <c r="AL89" s="49">
        <f t="shared" si="73"/>
        <v>1.001800745318885E-8</v>
      </c>
    </row>
    <row r="90" spans="1:38" x14ac:dyDescent="0.25">
      <c r="A90" s="49"/>
      <c r="B90" s="49"/>
      <c r="C90" s="49"/>
      <c r="D90" s="49"/>
      <c r="E90" s="68">
        <v>1258.9254117941703</v>
      </c>
      <c r="F90" s="61" t="str">
        <f t="shared" si="74"/>
        <v>7910061.65022014i</v>
      </c>
      <c r="G90" s="83" t="str">
        <f t="shared" si="55"/>
        <v>-101.763935735525-217.296692040766i</v>
      </c>
      <c r="H90" s="62" t="str">
        <f t="shared" si="56"/>
        <v>-0.0320494098012293+0.0150093130675084i</v>
      </c>
      <c r="I90" s="62" t="str">
        <f t="shared" si="57"/>
        <v>-1.97173429290117+0.960951076177956i</v>
      </c>
      <c r="J90" s="89" t="str">
        <f t="shared" si="58"/>
        <v>-4955.50877552751+2415.1334731039i</v>
      </c>
      <c r="K90" s="89" t="str">
        <f t="shared" si="59"/>
        <v>-0.356211600265189-22.9720858750517i</v>
      </c>
      <c r="L90" s="89" t="str">
        <f t="shared" si="60"/>
        <v>1.03286223821502-0.0160158512696327i</v>
      </c>
      <c r="M90" s="63">
        <f t="shared" si="75"/>
        <v>-170.02059991327963</v>
      </c>
      <c r="N90" s="63">
        <f t="shared" si="61"/>
        <v>-149.51029995663981</v>
      </c>
      <c r="O90" s="63" t="str">
        <f t="shared" si="62"/>
        <v>5.43331022140971E-15</v>
      </c>
      <c r="P90" s="63">
        <f t="shared" si="76"/>
        <v>-142.64935497690351</v>
      </c>
      <c r="Q90" s="63" t="str">
        <f t="shared" si="63"/>
        <v>3.3631530188409E-17</v>
      </c>
      <c r="R90" s="63">
        <f t="shared" si="77"/>
        <v>-164.73253372433686</v>
      </c>
      <c r="S90" s="63" t="str">
        <f t="shared" si="64"/>
        <v>9.57564401197757E-17+6.16297582203915E-33i</v>
      </c>
      <c r="T90" s="63">
        <f t="shared" si="78"/>
        <v>-160.18832007809198</v>
      </c>
      <c r="U90" s="63" t="str">
        <f t="shared" si="65"/>
        <v>1.13184094490137E-15</v>
      </c>
      <c r="V90" s="63">
        <f t="shared" si="79"/>
        <v>-149.46214599300598</v>
      </c>
      <c r="W90" s="63">
        <f t="shared" si="66"/>
        <v>109.08983404943042</v>
      </c>
      <c r="X90" s="63" t="str">
        <f t="shared" si="67"/>
        <v>258.346174378581-381.527847998517i</v>
      </c>
      <c r="Y90" s="90" t="str">
        <f t="shared" si="68"/>
        <v>3.36819660264145E-10-3.49737307167999E-10i</v>
      </c>
      <c r="Z90" s="90" t="str">
        <f t="shared" si="69"/>
        <v>2.58346174378581E-11-3.81527847998517E-11i</v>
      </c>
      <c r="AA90" s="90" t="str">
        <f t="shared" si="70"/>
        <v>1.68409830132072E-10-1.74868653583999E-10i</v>
      </c>
      <c r="AB90" s="90" t="str">
        <f t="shared" si="80"/>
        <v>7.8339289258047E-17</v>
      </c>
      <c r="AC90" s="90">
        <f t="shared" si="81"/>
        <v>-161.06020372955481</v>
      </c>
      <c r="AD90" s="90" t="str">
        <f t="shared" si="71"/>
        <v>6.73269918564939E-16</v>
      </c>
      <c r="AE90" s="63">
        <f t="shared" si="82"/>
        <v>-151.71810789205159</v>
      </c>
      <c r="AF90" s="63" t="str">
        <f t="shared" si="83"/>
        <v>5.48508778582324E-14</v>
      </c>
      <c r="AG90" s="63">
        <f t="shared" si="84"/>
        <v>-132.60816417388534</v>
      </c>
      <c r="AH90" s="116">
        <f t="shared" ref="AH90:AH107" si="87">AH89-(($AH$88-$AH$108)/20)</f>
        <v>-175</v>
      </c>
      <c r="AI90" s="63" t="str">
        <f t="shared" si="72"/>
        <v>1.52142335671873E-17</v>
      </c>
      <c r="AJ90" s="63">
        <f t="shared" si="85"/>
        <v>-168.17749920790217</v>
      </c>
      <c r="AK90" s="63">
        <f t="shared" si="86"/>
        <v>-132.05426633408945</v>
      </c>
      <c r="AL90" s="49">
        <f t="shared" si="73"/>
        <v>9.5719161547388881E-9</v>
      </c>
    </row>
    <row r="91" spans="1:38" x14ac:dyDescent="0.25">
      <c r="A91" s="49"/>
      <c r="B91" s="49"/>
      <c r="C91" s="49"/>
      <c r="D91" s="49"/>
      <c r="E91" s="68">
        <v>1412.5375446227577</v>
      </c>
      <c r="F91" s="61" t="str">
        <f t="shared" si="74"/>
        <v>8875235.14621324i</v>
      </c>
      <c r="G91" s="83" t="str">
        <f t="shared" si="55"/>
        <v>-104.073918059343-174.892297076179i</v>
      </c>
      <c r="H91" s="62" t="str">
        <f t="shared" si="56"/>
        <v>-0.0229899275787187+0.0136807159550065i</v>
      </c>
      <c r="I91" s="62" t="str">
        <f t="shared" si="57"/>
        <v>-1.39981518252678+0.859759233720409i</v>
      </c>
      <c r="J91" s="89" t="str">
        <f t="shared" si="58"/>
        <v>-3518.11927504769+2160.81063400962i</v>
      </c>
      <c r="K91" s="89" t="str">
        <f t="shared" si="59"/>
        <v>-0.284042698378927-20.2849454828696i</v>
      </c>
      <c r="L91" s="89" t="str">
        <f t="shared" si="60"/>
        <v>1.02333025304211-0.0143293205620069i</v>
      </c>
      <c r="M91" s="63">
        <f t="shared" si="75"/>
        <v>-170.52059991327963</v>
      </c>
      <c r="N91" s="63">
        <f t="shared" si="61"/>
        <v>-149.51029995663981</v>
      </c>
      <c r="O91" s="63" t="str">
        <f t="shared" si="62"/>
        <v>3.04472118469398E-15</v>
      </c>
      <c r="P91" s="63">
        <f t="shared" si="76"/>
        <v>-145.16452471009077</v>
      </c>
      <c r="Q91" s="63" t="str">
        <f t="shared" si="63"/>
        <v>1.8864534184659E-17</v>
      </c>
      <c r="R91" s="63">
        <f t="shared" si="77"/>
        <v>-167.24353914212247</v>
      </c>
      <c r="S91" s="63" t="str">
        <f t="shared" si="64"/>
        <v>5.37115209424319E-17</v>
      </c>
      <c r="T91" s="63">
        <f t="shared" si="78"/>
        <v>-162.69932549587762</v>
      </c>
      <c r="U91" s="63" t="str">
        <f t="shared" si="65"/>
        <v>7.56786644762778E-16-1.54074395550979E-33i</v>
      </c>
      <c r="V91" s="63">
        <f t="shared" si="79"/>
        <v>-151.21026540661506</v>
      </c>
      <c r="W91" s="63">
        <f t="shared" si="66"/>
        <v>109.08983404943042</v>
      </c>
      <c r="X91" s="63" t="str">
        <f t="shared" si="67"/>
        <v>221.545295293587-364.554232425957i</v>
      </c>
      <c r="Y91" s="90" t="str">
        <f t="shared" si="68"/>
        <v>3.03085188664969E-10-3.34178006229959E-10i</v>
      </c>
      <c r="Z91" s="90" t="str">
        <f t="shared" si="69"/>
        <v>2.21545295293587E-11-3.64554232425957E-11i</v>
      </c>
      <c r="AA91" s="90" t="str">
        <f t="shared" si="70"/>
        <v>1.51542594332485E-10-1.67089003114979E-10i</v>
      </c>
      <c r="AB91" s="90" t="str">
        <f t="shared" si="80"/>
        <v>5.27288808718444E-17</v>
      </c>
      <c r="AC91" s="90">
        <f t="shared" si="81"/>
        <v>-162.77951446122361</v>
      </c>
      <c r="AD91" s="90" t="str">
        <f t="shared" si="71"/>
        <v>5.24948588644759E-16</v>
      </c>
      <c r="AE91" s="63">
        <f t="shared" si="82"/>
        <v>-152.79883227567746</v>
      </c>
      <c r="AF91" s="63" t="str">
        <f t="shared" si="83"/>
        <v>4.87095099951205E-14</v>
      </c>
      <c r="AG91" s="63">
        <f t="shared" si="84"/>
        <v>-133.12386239294699</v>
      </c>
      <c r="AH91" s="116">
        <f t="shared" si="87"/>
        <v>-175</v>
      </c>
      <c r="AI91" s="63" t="str">
        <f t="shared" si="72"/>
        <v>8.53393906294833E-18-7.70371977754894E-34i</v>
      </c>
      <c r="AJ91" s="63">
        <f t="shared" si="85"/>
        <v>-170.68850462568781</v>
      </c>
      <c r="AK91" s="63">
        <f t="shared" si="86"/>
        <v>-132.74334930101071</v>
      </c>
      <c r="AL91" s="49">
        <f t="shared" si="73"/>
        <v>9.1641162359015519E-9</v>
      </c>
    </row>
    <row r="92" spans="1:38" x14ac:dyDescent="0.25">
      <c r="A92" s="49"/>
      <c r="B92" s="49"/>
      <c r="C92" s="49"/>
      <c r="D92" s="49"/>
      <c r="E92" s="68">
        <v>1584.8931924611177</v>
      </c>
      <c r="F92" s="61" t="str">
        <f t="shared" si="74"/>
        <v>9958177.62032064i</v>
      </c>
      <c r="G92" s="83" t="str">
        <f t="shared" si="55"/>
        <v>-100.751855255415-137.996941806071i</v>
      </c>
      <c r="H92" s="62" t="str">
        <f t="shared" si="56"/>
        <v>-0.0161672585331832+0.011803749201205i</v>
      </c>
      <c r="I92" s="62" t="str">
        <f t="shared" si="57"/>
        <v>-0.977198662139926+0.731587321364045i</v>
      </c>
      <c r="J92" s="89" t="str">
        <f t="shared" si="58"/>
        <v>-2455.96811046125+1838.67948340538i</v>
      </c>
      <c r="K92" s="89" t="str">
        <f t="shared" si="59"/>
        <v>-0.215413516986843-17.954538626129i</v>
      </c>
      <c r="L92" s="89" t="str">
        <f t="shared" si="60"/>
        <v>1.016286644369-0.0121931220227341i</v>
      </c>
      <c r="M92" s="63">
        <f t="shared" si="75"/>
        <v>-171.02059991327963</v>
      </c>
      <c r="N92" s="63">
        <f t="shared" si="61"/>
        <v>-149.51029995663981</v>
      </c>
      <c r="O92" s="63" t="str">
        <f t="shared" si="62"/>
        <v>1.67978143185335E-15+9.86076131526265E-32i</v>
      </c>
      <c r="P92" s="63">
        <f t="shared" si="76"/>
        <v>-147.74747223699902</v>
      </c>
      <c r="Q92" s="63" t="str">
        <f t="shared" si="63"/>
        <v>1.04165239065436E-17</v>
      </c>
      <c r="R92" s="63">
        <f t="shared" si="77"/>
        <v>-169.82277185073991</v>
      </c>
      <c r="S92" s="63" t="str">
        <f t="shared" si="64"/>
        <v>2.96581583450201E-17</v>
      </c>
      <c r="T92" s="63">
        <f t="shared" si="78"/>
        <v>-165.278558204495</v>
      </c>
      <c r="U92" s="63" t="str">
        <f t="shared" si="65"/>
        <v>5.02708003070305E-16</v>
      </c>
      <c r="V92" s="63">
        <f t="shared" si="79"/>
        <v>-152.98684200784248</v>
      </c>
      <c r="W92" s="63">
        <f t="shared" si="66"/>
        <v>109.08983404943042</v>
      </c>
      <c r="X92" s="63" t="str">
        <f t="shared" si="67"/>
        <v>187.856703648093-344.912303618221i</v>
      </c>
      <c r="Y92" s="90" t="str">
        <f t="shared" si="68"/>
        <v>2.72203675333278E-10-3.16172727389003E-10i</v>
      </c>
      <c r="Z92" s="90" t="str">
        <f t="shared" si="69"/>
        <v>1.87856703648093E-11-3.44912303618221E-11i</v>
      </c>
      <c r="AA92" s="90" t="str">
        <f t="shared" si="70"/>
        <v>1.36101837666639E-10-1.58086363694502E-10i</v>
      </c>
      <c r="AB92" s="90" t="str">
        <f t="shared" si="80"/>
        <v>3.53230548062919E-17+4.81482486096809E-35i</v>
      </c>
      <c r="AC92" s="90">
        <f t="shared" si="81"/>
        <v>-164.51941744841153</v>
      </c>
      <c r="AD92" s="90" t="str">
        <f t="shared" si="71"/>
        <v>4.11239617679154E-16</v>
      </c>
      <c r="AE92" s="63">
        <f t="shared" si="82"/>
        <v>-153.8590505327679</v>
      </c>
      <c r="AF92" s="63" t="str">
        <f t="shared" si="83"/>
        <v>4.25696058438617E-14</v>
      </c>
      <c r="AG92" s="63">
        <f t="shared" si="84"/>
        <v>-133.70900370979274</v>
      </c>
      <c r="AH92" s="116">
        <f t="shared" si="87"/>
        <v>-175</v>
      </c>
      <c r="AI92" s="63" t="str">
        <f t="shared" si="72"/>
        <v>4.71222768588047E-18</v>
      </c>
      <c r="AJ92" s="63">
        <f t="shared" si="85"/>
        <v>-173.26773733430517</v>
      </c>
      <c r="AK92" s="63">
        <f t="shared" si="86"/>
        <v>-133.44444335062767</v>
      </c>
      <c r="AL92" s="49">
        <f t="shared" si="73"/>
        <v>8.7494586718992271E-9</v>
      </c>
    </row>
    <row r="93" spans="1:38" x14ac:dyDescent="0.25">
      <c r="A93" s="49"/>
      <c r="B93" s="49"/>
      <c r="C93" s="49"/>
      <c r="D93" s="49"/>
      <c r="E93" s="68">
        <v>1778.2794100389276</v>
      </c>
      <c r="F93" s="61" t="str">
        <f t="shared" si="74"/>
        <v>11173259.0612166i</v>
      </c>
      <c r="G93" s="83" t="str">
        <f t="shared" si="55"/>
        <v>-93.6131920755555-106.976046973677i</v>
      </c>
      <c r="H93" s="62" t="str">
        <f t="shared" si="56"/>
        <v>-0.0111700075557334+0.00977471211903708i</v>
      </c>
      <c r="I93" s="62" t="str">
        <f t="shared" si="57"/>
        <v>-0.671842566107748+0.599748995627951i</v>
      </c>
      <c r="J93" s="89" t="str">
        <f t="shared" si="58"/>
        <v>-1688.52453604241+1507.3336309301i</v>
      </c>
      <c r="K93" s="89" t="str">
        <f t="shared" si="59"/>
        <v>-0.157389700992067-15.9218660301704i</v>
      </c>
      <c r="L93" s="89" t="str">
        <f t="shared" si="60"/>
        <v>1.0111973761018-0.00999581659379917i</v>
      </c>
      <c r="M93" s="63">
        <f t="shared" si="75"/>
        <v>-171.52059991327963</v>
      </c>
      <c r="N93" s="63">
        <f t="shared" si="61"/>
        <v>-149.51029995663981</v>
      </c>
      <c r="O93" s="63" t="str">
        <f t="shared" si="62"/>
        <v>9.13595996170687E-16-9.86076131526265E-32i</v>
      </c>
      <c r="P93" s="63">
        <f t="shared" si="76"/>
        <v>-150.39245812387182</v>
      </c>
      <c r="Q93" s="63" t="str">
        <f t="shared" si="63"/>
        <v>5.66964122735017E-18</v>
      </c>
      <c r="R93" s="63">
        <f t="shared" si="77"/>
        <v>-172.46444422220296</v>
      </c>
      <c r="S93" s="63" t="str">
        <f t="shared" si="64"/>
        <v>1.61427284945387E-17</v>
      </c>
      <c r="T93" s="63">
        <f t="shared" si="78"/>
        <v>-167.9202305759581</v>
      </c>
      <c r="U93" s="63" t="str">
        <f t="shared" si="65"/>
        <v>3.31791278277825E-16-3.85185988877447E-34i</v>
      </c>
      <c r="V93" s="63">
        <f t="shared" si="79"/>
        <v>-154.79135034362284</v>
      </c>
      <c r="W93" s="63">
        <f t="shared" si="66"/>
        <v>109.08983404943042</v>
      </c>
      <c r="X93" s="63" t="str">
        <f t="shared" si="67"/>
        <v>157.672700951214-323.376512057019i</v>
      </c>
      <c r="Y93" s="90" t="str">
        <f t="shared" si="68"/>
        <v>2.44534733529588E-10-2.96431390582638E-10i</v>
      </c>
      <c r="Z93" s="90" t="str">
        <f t="shared" si="69"/>
        <v>1.57672700951214E-11-3.23376512057019E-11i</v>
      </c>
      <c r="AA93" s="90" t="str">
        <f t="shared" si="70"/>
        <v>1.22267366764794E-10-1.48215695291319E-10i</v>
      </c>
      <c r="AB93" s="90" t="str">
        <f t="shared" si="80"/>
        <v>2.35631757017416E-17</v>
      </c>
      <c r="AC93" s="90">
        <f t="shared" si="81"/>
        <v>-166.27766178367153</v>
      </c>
      <c r="AD93" s="90" t="str">
        <f t="shared" si="71"/>
        <v>3.23380853827391E-16</v>
      </c>
      <c r="AE93" s="63">
        <f t="shared" si="82"/>
        <v>-154.90285696622755</v>
      </c>
      <c r="AF93" s="63" t="str">
        <f t="shared" si="83"/>
        <v>3.66596595780661E-14+3.15544362088405E-30i</v>
      </c>
      <c r="AG93" s="63">
        <f t="shared" si="84"/>
        <v>-134.35811572217605</v>
      </c>
      <c r="AH93" s="116">
        <f t="shared" si="87"/>
        <v>-175</v>
      </c>
      <c r="AI93" s="63" t="str">
        <f t="shared" si="72"/>
        <v>2.5648326255696E-18</v>
      </c>
      <c r="AJ93" s="63">
        <f t="shared" si="85"/>
        <v>-175.90940970576827</v>
      </c>
      <c r="AK93" s="63">
        <f t="shared" si="86"/>
        <v>-134.17069277680423</v>
      </c>
      <c r="AL93" s="49">
        <f t="shared" si="73"/>
        <v>8.3053175371195439E-9</v>
      </c>
    </row>
    <row r="94" spans="1:38" x14ac:dyDescent="0.25">
      <c r="A94" s="49"/>
      <c r="B94" s="49"/>
      <c r="C94" s="49"/>
      <c r="D94" s="49"/>
      <c r="E94" s="68">
        <v>1995.2623149688852</v>
      </c>
      <c r="F94" s="61" t="str">
        <f t="shared" si="74"/>
        <v>12536602.8613816i</v>
      </c>
      <c r="G94" s="83" t="str">
        <f t="shared" si="55"/>
        <v>-84.258174935312-81.6556778919632i</v>
      </c>
      <c r="H94" s="62" t="str">
        <f t="shared" si="56"/>
        <v>-0.00759894515236522+0.00784113568708548i</v>
      </c>
      <c r="I94" s="62" t="str">
        <f t="shared" si="57"/>
        <v>-0.455653715350254+0.477670777875478i</v>
      </c>
      <c r="J94" s="89" t="str">
        <f t="shared" si="58"/>
        <v>-1145.1826917802+1200.5176052865i</v>
      </c>
      <c r="K94" s="89" t="str">
        <f t="shared" si="59"/>
        <v>-0.111721164682399-14.1398141932715i</v>
      </c>
      <c r="L94" s="89" t="str">
        <f t="shared" si="60"/>
        <v>1.00759422858917-0.00796117963125797i</v>
      </c>
      <c r="M94" s="63">
        <f t="shared" si="75"/>
        <v>-172.02059991327963</v>
      </c>
      <c r="N94" s="63">
        <f t="shared" si="61"/>
        <v>-149.51029995663981</v>
      </c>
      <c r="O94" s="63" t="str">
        <f t="shared" si="62"/>
        <v>4.90542420145883E-16</v>
      </c>
      <c r="P94" s="63">
        <f t="shared" si="76"/>
        <v>-153.09323430610866</v>
      </c>
      <c r="Q94" s="63" t="str">
        <f t="shared" si="63"/>
        <v>3.04630574942573E-18</v>
      </c>
      <c r="R94" s="63">
        <f t="shared" si="77"/>
        <v>-175.16226509855994</v>
      </c>
      <c r="S94" s="63" t="str">
        <f t="shared" si="64"/>
        <v>8.67350942544825E-18</v>
      </c>
      <c r="T94" s="63">
        <f t="shared" si="78"/>
        <v>-170.61805145231511</v>
      </c>
      <c r="U94" s="63" t="str">
        <f t="shared" si="65"/>
        <v>2.17642630667491E-16</v>
      </c>
      <c r="V94" s="63">
        <f t="shared" si="79"/>
        <v>-156.62256033375073</v>
      </c>
      <c r="W94" s="63">
        <f t="shared" si="66"/>
        <v>109.08983404943042</v>
      </c>
      <c r="X94" s="63" t="str">
        <f t="shared" si="67"/>
        <v>131.144885283823-300.721247448512i</v>
      </c>
      <c r="Y94" s="90" t="str">
        <f t="shared" si="68"/>
        <v>2.20217329530815E-10-2.75663860036903E-10i</v>
      </c>
      <c r="Z94" s="90" t="str">
        <f t="shared" si="69"/>
        <v>1.31144885283823E-11-3.00721247448512E-11i</v>
      </c>
      <c r="AA94" s="90" t="str">
        <f t="shared" si="70"/>
        <v>1.10108664765408E-10-1.37831930018452E-10i</v>
      </c>
      <c r="AB94" s="90" t="str">
        <f t="shared" si="80"/>
        <v>1.56642460648768E-17+2.40741243048404E-35i</v>
      </c>
      <c r="AC94" s="90">
        <f t="shared" si="81"/>
        <v>-168.05090503287437</v>
      </c>
      <c r="AD94" s="90" t="str">
        <f t="shared" si="71"/>
        <v>2.55034218161836E-16</v>
      </c>
      <c r="AE94" s="63">
        <f t="shared" si="82"/>
        <v>-155.93401545990042</v>
      </c>
      <c r="AF94" s="63" t="str">
        <f t="shared" si="83"/>
        <v>3.11508257488021E-14</v>
      </c>
      <c r="AG94" s="63">
        <f t="shared" si="84"/>
        <v>-135.06530436536272</v>
      </c>
      <c r="AH94" s="116">
        <f t="shared" si="87"/>
        <v>-175</v>
      </c>
      <c r="AI94" s="63" t="str">
        <f t="shared" si="72"/>
        <v>1.37808797069846E-18</v>
      </c>
      <c r="AJ94" s="63">
        <f t="shared" si="85"/>
        <v>-178.60723058212528</v>
      </c>
      <c r="AK94" s="63">
        <f t="shared" si="86"/>
        <v>-134.92916197146576</v>
      </c>
      <c r="AL94" s="49">
        <f t="shared" si="73"/>
        <v>7.8254500200591531E-9</v>
      </c>
    </row>
    <row r="95" spans="1:38" x14ac:dyDescent="0.25">
      <c r="A95" s="49"/>
      <c r="B95" s="49"/>
      <c r="C95" s="49"/>
      <c r="D95" s="49"/>
      <c r="E95" s="68">
        <v>2238.7211385683459</v>
      </c>
      <c r="F95" s="61" t="str">
        <f t="shared" si="74"/>
        <v>14066299.764725i</v>
      </c>
      <c r="G95" s="83" t="str">
        <f t="shared" si="55"/>
        <v>-73.958591465647-61.5047573241261i</v>
      </c>
      <c r="H95" s="62" t="str">
        <f t="shared" si="56"/>
        <v>-0.00510123852126532+0.00613416639911023i</v>
      </c>
      <c r="I95" s="62" t="str">
        <f t="shared" si="57"/>
        <v>-0.30535117593121+0.371819800358498i</v>
      </c>
      <c r="J95" s="89" t="str">
        <f t="shared" si="58"/>
        <v>-767.431208856398+934.485082612381i</v>
      </c>
      <c r="K95" s="89" t="str">
        <f t="shared" si="59"/>
        <v>-0.0775067085599271-12.5707917482887i</v>
      </c>
      <c r="L95" s="89" t="str">
        <f t="shared" si="60"/>
        <v>1.00508918626552-0.00619699667264163i</v>
      </c>
      <c r="M95" s="63">
        <f t="shared" si="75"/>
        <v>-172.52059991327963</v>
      </c>
      <c r="N95" s="63">
        <f t="shared" si="61"/>
        <v>-149.51029995663981</v>
      </c>
      <c r="O95" s="63" t="str">
        <f t="shared" si="62"/>
        <v>2.6041559975801E-16</v>
      </c>
      <c r="P95" s="63">
        <f t="shared" si="76"/>
        <v>-155.84333003644937</v>
      </c>
      <c r="Q95" s="63" t="str">
        <f t="shared" si="63"/>
        <v>1.61818241981339E-18-1.92592994438724E-34i</v>
      </c>
      <c r="R95" s="63">
        <f t="shared" si="77"/>
        <v>-177.90972521380934</v>
      </c>
      <c r="S95" s="63" t="str">
        <f t="shared" si="64"/>
        <v>4.60732494530202E-18</v>
      </c>
      <c r="T95" s="63">
        <f t="shared" si="78"/>
        <v>-173.36551156756451</v>
      </c>
      <c r="U95" s="63" t="str">
        <f t="shared" si="65"/>
        <v>1.41950507271952E-16</v>
      </c>
      <c r="V95" s="63">
        <f t="shared" si="79"/>
        <v>-158.47863051147874</v>
      </c>
      <c r="W95" s="63">
        <f t="shared" si="66"/>
        <v>109.08983404943042</v>
      </c>
      <c r="X95" s="63" t="str">
        <f t="shared" si="67"/>
        <v>108.222380740102-277.653596873363i</v>
      </c>
      <c r="Y95" s="90" t="str">
        <f t="shared" si="68"/>
        <v>1.99204826630376E-10-2.54518305296489E-10i</v>
      </c>
      <c r="Z95" s="90" t="str">
        <f t="shared" si="69"/>
        <v>1.08222380740102E-11-2.77653596873363E-11i</v>
      </c>
      <c r="AA95" s="90" t="str">
        <f t="shared" si="70"/>
        <v>9.9602413315188E-11-1.27259152648244E-10i</v>
      </c>
      <c r="AB95" s="90" t="str">
        <f t="shared" si="80"/>
        <v>1.03878156432078E-17</v>
      </c>
      <c r="AC95" s="90">
        <f t="shared" si="81"/>
        <v>-169.83475766575276</v>
      </c>
      <c r="AD95" s="90" t="str">
        <f t="shared" si="71"/>
        <v>2.01569913863157E-16</v>
      </c>
      <c r="AE95" s="63">
        <f t="shared" si="82"/>
        <v>-156.95574289777562</v>
      </c>
      <c r="AF95" s="63" t="str">
        <f t="shared" si="83"/>
        <v>2.61543500665739E-14-1.57772181044202E-30i</v>
      </c>
      <c r="AG95" s="63">
        <f t="shared" si="84"/>
        <v>-135.82456067684245</v>
      </c>
      <c r="AH95" s="116">
        <f t="shared" si="87"/>
        <v>-175</v>
      </c>
      <c r="AI95" s="63" t="str">
        <f t="shared" si="72"/>
        <v>7.32033456445059E-19</v>
      </c>
      <c r="AJ95" s="63">
        <f t="shared" si="85"/>
        <v>-181.35469069737465</v>
      </c>
      <c r="AK95" s="63">
        <f t="shared" si="86"/>
        <v>-135.72260278502395</v>
      </c>
      <c r="AL95" s="49">
        <f t="shared" si="73"/>
        <v>7.3141732070683915E-9</v>
      </c>
    </row>
    <row r="96" spans="1:38" x14ac:dyDescent="0.25">
      <c r="A96" s="49"/>
      <c r="B96" s="49"/>
      <c r="C96" s="49"/>
      <c r="D96" s="49"/>
      <c r="E96" s="68">
        <v>2511.886431509588</v>
      </c>
      <c r="F96" s="61" t="str">
        <f t="shared" si="74"/>
        <v>15782647.9197648i</v>
      </c>
      <c r="G96" s="83" t="str">
        <f t="shared" si="55"/>
        <v>-63.632873329691-45.8069727403149i</v>
      </c>
      <c r="H96" s="62" t="str">
        <f t="shared" si="56"/>
        <v>-0.00338609012053728+0.00470379575058525i</v>
      </c>
      <c r="I96" s="62" t="str">
        <f t="shared" si="57"/>
        <v>-0.202514591774562+0.284142464302536i</v>
      </c>
      <c r="J96" s="89" t="str">
        <f t="shared" si="58"/>
        <v>-508.974683010962+714.127902740599i</v>
      </c>
      <c r="K96" s="89" t="str">
        <f t="shared" si="59"/>
        <v>-0.0527889378322041-11.1846246140239i</v>
      </c>
      <c r="L96" s="89" t="str">
        <f t="shared" si="60"/>
        <v>1.00337524319624-0.00473570773837559i</v>
      </c>
      <c r="M96" s="63">
        <f t="shared" si="75"/>
        <v>-173.02059991327963</v>
      </c>
      <c r="N96" s="63">
        <f t="shared" si="61"/>
        <v>-149.51029995663981</v>
      </c>
      <c r="O96" s="63" t="str">
        <f t="shared" si="62"/>
        <v>1.36888445252905E-16</v>
      </c>
      <c r="P96" s="63">
        <f t="shared" si="76"/>
        <v>-158.63633209095292</v>
      </c>
      <c r="Q96" s="63" t="str">
        <f t="shared" si="63"/>
        <v>8.510641709568E-19+4.81482486096809E-35i</v>
      </c>
      <c r="R96" s="63">
        <f t="shared" si="77"/>
        <v>-180.70037692510317</v>
      </c>
      <c r="S96" s="63" t="str">
        <f t="shared" si="64"/>
        <v>2.42316882008533E-18</v>
      </c>
      <c r="T96" s="63">
        <f t="shared" si="78"/>
        <v>-176.15616327885834</v>
      </c>
      <c r="U96" s="63" t="str">
        <f t="shared" si="65"/>
        <v>9.21026167876329E-17</v>
      </c>
      <c r="V96" s="63">
        <f t="shared" si="79"/>
        <v>-160.35728030603534</v>
      </c>
      <c r="W96" s="63">
        <f t="shared" si="66"/>
        <v>109.08983404943042</v>
      </c>
      <c r="X96" s="63" t="str">
        <f t="shared" si="67"/>
        <v>88.7036268824678-254.771503944231i</v>
      </c>
      <c r="Y96" s="90" t="str">
        <f t="shared" si="68"/>
        <v>1.81312459273038E-10-2.33542846741145E-10i</v>
      </c>
      <c r="Z96" s="90" t="str">
        <f t="shared" si="69"/>
        <v>8.87036268824678E-12-2.54771503944231E-11i</v>
      </c>
      <c r="AA96" s="90" t="str">
        <f t="shared" si="70"/>
        <v>9.0656229636519E-11-1.16771423370572E-10i</v>
      </c>
      <c r="AB96" s="90" t="str">
        <f t="shared" si="80"/>
        <v>6.88032089783116E-18+6.01853107621011E-36i</v>
      </c>
      <c r="AC96" s="90">
        <f t="shared" si="81"/>
        <v>-171.62391305818659</v>
      </c>
      <c r="AD96" s="90" t="str">
        <f t="shared" si="71"/>
        <v>1.59564559220134E-16</v>
      </c>
      <c r="AE96" s="63">
        <f t="shared" si="82"/>
        <v>-157.97063563137721</v>
      </c>
      <c r="AF96" s="63" t="str">
        <f t="shared" si="83"/>
        <v>2.17266741907791E-14</v>
      </c>
      <c r="AG96" s="63">
        <f t="shared" si="84"/>
        <v>-136.63006748191032</v>
      </c>
      <c r="AH96" s="116">
        <f t="shared" si="87"/>
        <v>-175</v>
      </c>
      <c r="AI96" s="63" t="str">
        <f t="shared" si="72"/>
        <v>3.85004458764233E-19-2.40741243048404E-35i</v>
      </c>
      <c r="AJ96" s="63">
        <f t="shared" si="85"/>
        <v>-184.14534240866851</v>
      </c>
      <c r="AK96" s="63">
        <f t="shared" si="86"/>
        <v>-136.5510161882203</v>
      </c>
      <c r="AL96" s="49">
        <f t="shared" si="73"/>
        <v>6.781470866407345E-9</v>
      </c>
    </row>
    <row r="97" spans="1:38" x14ac:dyDescent="0.25">
      <c r="A97" s="49"/>
      <c r="B97" s="49"/>
      <c r="C97" s="49"/>
      <c r="D97" s="49"/>
      <c r="E97" s="68">
        <v>2818.382931264463</v>
      </c>
      <c r="F97" s="61" t="str">
        <f t="shared" si="74"/>
        <v>17708422.2237266i</v>
      </c>
      <c r="G97" s="83" t="str">
        <f t="shared" si="55"/>
        <v>-53.8796618834962-33.7947355849488i</v>
      </c>
      <c r="H97" s="62" t="str">
        <f t="shared" si="56"/>
        <v>-0.0022264655211884+0.0035497010821508i</v>
      </c>
      <c r="I97" s="62" t="str">
        <f t="shared" si="57"/>
        <v>-0.133124938508489+0.213930928503562i</v>
      </c>
      <c r="J97" s="89" t="str">
        <f t="shared" si="58"/>
        <v>-334.579463062288+537.667066689946i</v>
      </c>
      <c r="K97" s="89" t="str">
        <f t="shared" si="59"/>
        <v>-0.0354225936419759-9.95681767016447i</v>
      </c>
      <c r="L97" s="89" t="str">
        <f t="shared" si="60"/>
        <v>1.00221874897514-0.00356551547505936i</v>
      </c>
      <c r="M97" s="63">
        <f t="shared" si="75"/>
        <v>-173.52059991327963</v>
      </c>
      <c r="N97" s="63">
        <f t="shared" si="61"/>
        <v>-149.51029995663981</v>
      </c>
      <c r="O97" s="63" t="str">
        <f t="shared" si="62"/>
        <v>7.1348989356496E-17-6.16297582203915E-33i</v>
      </c>
      <c r="P97" s="63">
        <f t="shared" si="76"/>
        <v>-161.46612174196224</v>
      </c>
      <c r="Q97" s="63" t="str">
        <f t="shared" si="63"/>
        <v>4.43805749487995E-19-2.40741243048404E-35i</v>
      </c>
      <c r="R97" s="63">
        <f t="shared" si="77"/>
        <v>-183.5280707579771</v>
      </c>
      <c r="S97" s="63" t="str">
        <f t="shared" si="64"/>
        <v>1.26361359229221E-18</v>
      </c>
      <c r="T97" s="63">
        <f t="shared" si="78"/>
        <v>-178.98385711173222</v>
      </c>
      <c r="U97" s="63" t="str">
        <f t="shared" si="65"/>
        <v>5.9484157918529E-17+2.40741243048404E-35i</v>
      </c>
      <c r="V97" s="63">
        <f t="shared" si="79"/>
        <v>-162.255986820808</v>
      </c>
      <c r="W97" s="63">
        <f t="shared" si="66"/>
        <v>109.08983404943042</v>
      </c>
      <c r="X97" s="63" t="str">
        <f t="shared" si="67"/>
        <v>72.2897329015395-232.545889398008i</v>
      </c>
      <c r="Y97" s="90" t="str">
        <f t="shared" si="68"/>
        <v>1.66266241516862E-10-2.13169165967048E-10i</v>
      </c>
      <c r="Z97" s="90" t="str">
        <f t="shared" si="69"/>
        <v>7.22897329015395E-12-2.32545889398008E-11i</v>
      </c>
      <c r="AA97" s="90" t="str">
        <f t="shared" si="70"/>
        <v>8.3133120758431E-11-1.06584582983524E-10i</v>
      </c>
      <c r="AB97" s="90" t="str">
        <f t="shared" si="80"/>
        <v>4.55793624664704E-18</v>
      </c>
      <c r="AC97" s="90">
        <f t="shared" si="81"/>
        <v>-173.41231753732876</v>
      </c>
      <c r="AD97" s="90" t="str">
        <f t="shared" si="71"/>
        <v>1.26453409281938E-16</v>
      </c>
      <c r="AE97" s="63">
        <f t="shared" si="82"/>
        <v>-158.98069457245845</v>
      </c>
      <c r="AF97" s="63" t="str">
        <f t="shared" si="83"/>
        <v>1.7879402412568E-14</v>
      </c>
      <c r="AG97" s="63">
        <f t="shared" si="84"/>
        <v>-137.4764700082317</v>
      </c>
      <c r="AH97" s="116">
        <f t="shared" si="87"/>
        <v>-175</v>
      </c>
      <c r="AI97" s="63" t="str">
        <f t="shared" si="72"/>
        <v>2.00768870561178E-19</v>
      </c>
      <c r="AJ97" s="63">
        <f t="shared" si="85"/>
        <v>-186.97303624154239</v>
      </c>
      <c r="AK97" s="63">
        <f t="shared" si="86"/>
        <v>-137.41287186923981</v>
      </c>
      <c r="AL97" s="49">
        <f t="shared" si="73"/>
        <v>6.2393354023699542E-9</v>
      </c>
    </row>
    <row r="98" spans="1:38" x14ac:dyDescent="0.25">
      <c r="A98" s="49"/>
      <c r="B98" s="49"/>
      <c r="C98" s="49"/>
      <c r="D98" s="49"/>
      <c r="E98" s="68">
        <v>3162.277660168389</v>
      </c>
      <c r="F98" s="61" t="str">
        <f t="shared" si="74"/>
        <v>19869176.5315923i</v>
      </c>
      <c r="G98" s="83" t="str">
        <f t="shared" si="55"/>
        <v>-45.0399212621284-24.7377755323407i</v>
      </c>
      <c r="H98" s="62" t="str">
        <f t="shared" si="56"/>
        <v>-0.00145253821038709+0.00264462770876622i</v>
      </c>
      <c r="I98" s="62" t="str">
        <f t="shared" si="57"/>
        <v>-0.0868575944497405+0.159138523312828i</v>
      </c>
      <c r="J98" s="89" t="str">
        <f t="shared" si="58"/>
        <v>-218.296944505428+399.958732594167i</v>
      </c>
      <c r="K98" s="89" t="str">
        <f t="shared" si="59"/>
        <v>-0.0234845425334025-8.86719528056349i</v>
      </c>
      <c r="L98" s="89" t="str">
        <f t="shared" si="60"/>
        <v>1.00144762657416-0.00265230872188047i</v>
      </c>
      <c r="M98" s="63">
        <f t="shared" si="75"/>
        <v>-174.02059991327963</v>
      </c>
      <c r="N98" s="63">
        <f t="shared" si="61"/>
        <v>-149.51029995663981</v>
      </c>
      <c r="O98" s="63" t="str">
        <f t="shared" si="62"/>
        <v>3.69228468957766E-17+3.08148791101958E-33i</v>
      </c>
      <c r="P98" s="63">
        <f t="shared" si="76"/>
        <v>-164.32704820553496</v>
      </c>
      <c r="Q98" s="63" t="str">
        <f t="shared" si="63"/>
        <v>2.29766735093004E-19-1.20370621524202E-35i</v>
      </c>
      <c r="R98" s="63">
        <f t="shared" si="77"/>
        <v>-186.38712846889149</v>
      </c>
      <c r="S98" s="63" t="str">
        <f t="shared" si="64"/>
        <v>6.54196954084247E-19</v>
      </c>
      <c r="T98" s="63">
        <f t="shared" si="78"/>
        <v>-181.84291482264666</v>
      </c>
      <c r="U98" s="63" t="str">
        <f t="shared" si="65"/>
        <v>3.82633875677672E-17</v>
      </c>
      <c r="V98" s="63">
        <f t="shared" si="79"/>
        <v>-164.17216583266864</v>
      </c>
      <c r="W98" s="63">
        <f t="shared" si="66"/>
        <v>109.08983404943042</v>
      </c>
      <c r="X98" s="63" t="str">
        <f t="shared" si="67"/>
        <v>58.631328143746-211.321290496436i</v>
      </c>
      <c r="Y98" s="90" t="str">
        <f t="shared" si="68"/>
        <v>1.53745913773395E-10-1.93713091909813E-10i</v>
      </c>
      <c r="Z98" s="90" t="str">
        <f t="shared" si="69"/>
        <v>5.8631328143746E-12-2.11321290496436E-11i</v>
      </c>
      <c r="AA98" s="90" t="str">
        <f t="shared" si="70"/>
        <v>7.68729568866975E-11-9.68565459549065E-11i</v>
      </c>
      <c r="AB98" s="90" t="str">
        <f t="shared" si="80"/>
        <v>3.02457789901664E-18</v>
      </c>
      <c r="AC98" s="90">
        <f t="shared" si="81"/>
        <v>-175.1933522561277</v>
      </c>
      <c r="AD98" s="90" t="str">
        <f t="shared" si="71"/>
        <v>1.00290438351256E-16</v>
      </c>
      <c r="AE98" s="63">
        <f t="shared" si="82"/>
        <v>-159.9874047046147</v>
      </c>
      <c r="AF98" s="63" t="str">
        <f t="shared" si="83"/>
        <v>1.45911927479477E-14</v>
      </c>
      <c r="AG98" s="63">
        <f t="shared" si="84"/>
        <v>-138.35909205523996</v>
      </c>
      <c r="AH98" s="116">
        <f t="shared" si="87"/>
        <v>-175</v>
      </c>
      <c r="AI98" s="63" t="str">
        <f t="shared" si="72"/>
        <v>1.0394188887902E-19</v>
      </c>
      <c r="AJ98" s="63">
        <f t="shared" si="85"/>
        <v>-189.8320939524568</v>
      </c>
      <c r="AK98" s="63">
        <f t="shared" si="86"/>
        <v>-138.30599454558575</v>
      </c>
      <c r="AL98" s="49">
        <f t="shared" si="73"/>
        <v>5.6993596661127371E-9</v>
      </c>
    </row>
    <row r="99" spans="1:38" x14ac:dyDescent="0.25">
      <c r="D99" s="49"/>
      <c r="E99" s="68">
        <v>3548.1338923357671</v>
      </c>
      <c r="F99" s="61" t="str">
        <f t="shared" si="74"/>
        <v>22293582.74023i</v>
      </c>
      <c r="G99" s="83" t="str">
        <f t="shared" si="55"/>
        <v>-37.2653185197262-17.9916092096885i</v>
      </c>
      <c r="H99" s="62" t="str">
        <f t="shared" si="56"/>
        <v>-0.00094153600115421+0.00195016680119455i</v>
      </c>
      <c r="I99" s="62" t="str">
        <f t="shared" si="57"/>
        <v>-0.056316565677256+0.117230211232713i</v>
      </c>
      <c r="J99" s="89" t="str">
        <f t="shared" si="58"/>
        <v>-141.53896720566+294.631656309977i</v>
      </c>
      <c r="K99" s="89" t="str">
        <f t="shared" si="59"/>
        <v>-0.0154186492304508-7.89887921775487i</v>
      </c>
      <c r="L99" s="89" t="str">
        <f t="shared" si="60"/>
        <v>1.00093860942795-0.00195383685387854i</v>
      </c>
      <c r="M99" s="63">
        <f t="shared" si="75"/>
        <v>-174.52059991327963</v>
      </c>
      <c r="N99" s="63">
        <f t="shared" si="61"/>
        <v>-149.51029995663981</v>
      </c>
      <c r="O99" s="63" t="str">
        <f t="shared" si="62"/>
        <v>1.89931305560566E-17+1.54074395550979E-33i</v>
      </c>
      <c r="P99" s="63">
        <f t="shared" si="76"/>
        <v>-167.21403446470595</v>
      </c>
      <c r="Q99" s="63" t="str">
        <f t="shared" si="63"/>
        <v>1.1823747529895E-19</v>
      </c>
      <c r="R99" s="63">
        <f t="shared" si="77"/>
        <v>-189.27244852253042</v>
      </c>
      <c r="S99" s="63" t="str">
        <f t="shared" si="64"/>
        <v>3.36648367170621E-19-2.40741243048404E-35i</v>
      </c>
      <c r="T99" s="63">
        <f t="shared" si="78"/>
        <v>-184.7282348762856</v>
      </c>
      <c r="U99" s="63" t="str">
        <f t="shared" si="65"/>
        <v>2.45283606089501E-17-6.01853107621011E-36i</v>
      </c>
      <c r="V99" s="63">
        <f t="shared" si="79"/>
        <v>-166.10331477569366</v>
      </c>
      <c r="W99" s="63">
        <f t="shared" si="66"/>
        <v>109.08983404943042</v>
      </c>
      <c r="X99" s="63" t="str">
        <f t="shared" si="67"/>
        <v>47.3650313562479-191.328387271312i</v>
      </c>
      <c r="Y99" s="90" t="str">
        <f t="shared" si="68"/>
        <v>1.43418373278289E-10-1.75386083349084E-10i</v>
      </c>
      <c r="Z99" s="90" t="str">
        <f t="shared" si="69"/>
        <v>4.73650313562479E-12-1.91328387271312E-11i</v>
      </c>
      <c r="AA99" s="90" t="str">
        <f t="shared" si="70"/>
        <v>7.17091866391445E-11-8.7693041674542E-11i</v>
      </c>
      <c r="AB99" s="90" t="str">
        <f t="shared" si="80"/>
        <v>2.01371533895224E-18-7.52316384526264E-37i</v>
      </c>
      <c r="AC99" s="90">
        <f t="shared" si="81"/>
        <v>-176.96001921796227</v>
      </c>
      <c r="AD99" s="90" t="str">
        <f t="shared" si="71"/>
        <v>7.95823094788563E-17-2.40741243048404E-35i</v>
      </c>
      <c r="AE99" s="63">
        <f t="shared" si="82"/>
        <v>-160.99183461779606</v>
      </c>
      <c r="AF99" s="63" t="str">
        <f t="shared" si="83"/>
        <v>1.18192628639119E-14</v>
      </c>
      <c r="AG99" s="63">
        <f t="shared" si="84"/>
        <v>-139.27409608405543</v>
      </c>
      <c r="AH99" s="116">
        <f t="shared" si="87"/>
        <v>-175</v>
      </c>
      <c r="AI99" s="63" t="str">
        <f t="shared" si="72"/>
        <v>5.34882758980959E-20+3.00926553810506E-36i</v>
      </c>
      <c r="AJ99" s="63">
        <f t="shared" si="85"/>
        <v>-192.71741400609574</v>
      </c>
      <c r="AK99" s="63">
        <f t="shared" si="86"/>
        <v>-139.22817890597503</v>
      </c>
      <c r="AL99" s="49">
        <f t="shared" si="73"/>
        <v>5.1713940160703883E-9</v>
      </c>
    </row>
    <row r="100" spans="1:38" x14ac:dyDescent="0.25">
      <c r="D100" s="49"/>
      <c r="E100" s="68">
        <v>3981.0717055349869</v>
      </c>
      <c r="F100" s="61" t="str">
        <f t="shared" si="74"/>
        <v>25013811.2470458i</v>
      </c>
      <c r="G100" s="83" t="str">
        <f t="shared" si="55"/>
        <v>-30.5798050087763-13.0163564841329i</v>
      </c>
      <c r="H100" s="62" t="str">
        <f t="shared" si="56"/>
        <v>-0.000607094579930592+0.00142626962459066i</v>
      </c>
      <c r="I100" s="62" t="str">
        <f t="shared" si="57"/>
        <v>-0.0363255250390097+0.0856800033340327i</v>
      </c>
      <c r="J100" s="89" t="str">
        <f t="shared" si="58"/>
        <v>-91.2960020802761+215.337335226997i</v>
      </c>
      <c r="K100" s="89" t="str">
        <f t="shared" si="59"/>
        <v>-0.0100435270985677-7.03754013592174i</v>
      </c>
      <c r="L100" s="89" t="str">
        <f t="shared" si="60"/>
        <v>1.00060542541732-0.00142800005556721i</v>
      </c>
      <c r="M100" s="63">
        <f t="shared" si="75"/>
        <v>-175.02059991327963</v>
      </c>
      <c r="N100" s="63">
        <f t="shared" si="61"/>
        <v>-149.51029995663981</v>
      </c>
      <c r="O100" s="63" t="str">
        <f t="shared" si="62"/>
        <v>9.72159933636186E-18+7.70371977754894E-34i</v>
      </c>
      <c r="P100" s="63">
        <f t="shared" si="76"/>
        <v>-170.12262281800133</v>
      </c>
      <c r="Q100" s="63" t="str">
        <f t="shared" si="63"/>
        <v>6.05403415852798E-20</v>
      </c>
      <c r="R100" s="63">
        <f t="shared" si="77"/>
        <v>-192.17955132963465</v>
      </c>
      <c r="S100" s="63" t="str">
        <f t="shared" si="64"/>
        <v>1.72371805902533E-19</v>
      </c>
      <c r="T100" s="63">
        <f t="shared" si="78"/>
        <v>-187.63533768338976</v>
      </c>
      <c r="U100" s="63" t="str">
        <f t="shared" si="65"/>
        <v>1.56779369018047E-17-3.00926553810506E-36i</v>
      </c>
      <c r="V100" s="63">
        <f t="shared" si="79"/>
        <v>-168.04711087768428</v>
      </c>
      <c r="W100" s="63">
        <f t="shared" si="66"/>
        <v>109.08983404943042</v>
      </c>
      <c r="X100" s="63" t="str">
        <f t="shared" si="67"/>
        <v>38.1389002572512-172.702485519481i</v>
      </c>
      <c r="Y100" s="90" t="str">
        <f t="shared" si="68"/>
        <v>1.34961003093991E-10-1.58312171820911E-10i</v>
      </c>
      <c r="Z100" s="90" t="str">
        <f t="shared" si="69"/>
        <v>3.81389002572512E-12-1.72702485519481E-11i</v>
      </c>
      <c r="AA100" s="90" t="str">
        <f t="shared" si="70"/>
        <v>6.74805015469955E-11-7.91560859104555E-11i</v>
      </c>
      <c r="AB100" s="90" t="str">
        <f t="shared" si="80"/>
        <v>1.34736733808971E-18</v>
      </c>
      <c r="AC100" s="90">
        <f t="shared" si="81"/>
        <v>-178.70513984710323</v>
      </c>
      <c r="AD100" s="90" t="str">
        <f t="shared" si="71"/>
        <v>6.3172285761666E-17+1.20370621524202E-35i</v>
      </c>
      <c r="AE100" s="63">
        <f t="shared" si="82"/>
        <v>-161.99473408751999</v>
      </c>
      <c r="AF100" s="63" t="str">
        <f t="shared" si="83"/>
        <v>9.50911772765567E-15</v>
      </c>
      <c r="AG100" s="63">
        <f t="shared" si="84"/>
        <v>-140.21859775784515</v>
      </c>
      <c r="AH100" s="116">
        <f t="shared" si="87"/>
        <v>-175</v>
      </c>
      <c r="AI100" s="63" t="str">
        <f t="shared" si="72"/>
        <v>2.73872432195546E-20-1.50463276905253E-36i</v>
      </c>
      <c r="AJ100" s="63">
        <f t="shared" si="85"/>
        <v>-195.62451681319996</v>
      </c>
      <c r="AK100" s="63">
        <f t="shared" si="86"/>
        <v>-140.17760561358213</v>
      </c>
      <c r="AL100" s="49">
        <f t="shared" si="73"/>
        <v>4.6629950862246529E-9</v>
      </c>
    </row>
    <row r="101" spans="1:38" x14ac:dyDescent="0.25">
      <c r="D101" s="49"/>
      <c r="E101" s="68">
        <v>4466.8359215096471</v>
      </c>
      <c r="F101" s="61" t="str">
        <f t="shared" si="74"/>
        <v>28065957.8316114i</v>
      </c>
      <c r="G101" s="83" t="str">
        <f t="shared" si="55"/>
        <v>-24.9288130277468-9.37665459128604i</v>
      </c>
      <c r="H101" s="62" t="str">
        <f t="shared" si="56"/>
        <v>-0.000389775771136485+0.00103625949178475i</v>
      </c>
      <c r="I101" s="62" t="str">
        <f t="shared" si="57"/>
        <v>-0.0233311599783919+0.0622240000506702i</v>
      </c>
      <c r="J101" s="89" t="str">
        <f t="shared" si="58"/>
        <v>-58.6376006302752+156.385969148925i</v>
      </c>
      <c r="K101" s="89" t="str">
        <f t="shared" si="59"/>
        <v>-0.00650076859785322-6.27085667950611i</v>
      </c>
      <c r="L101" s="89" t="str">
        <f t="shared" si="60"/>
        <v>1.00038885266631-0.00103706666751117i</v>
      </c>
      <c r="M101" s="63">
        <f t="shared" si="75"/>
        <v>-175.52059991327963</v>
      </c>
      <c r="N101" s="63">
        <f t="shared" si="61"/>
        <v>-149.51029995663981</v>
      </c>
      <c r="O101" s="63" t="str">
        <f t="shared" si="62"/>
        <v>4.95567323736664E-18</v>
      </c>
      <c r="P101" s="63">
        <f t="shared" si="76"/>
        <v>-173.04897337462853</v>
      </c>
      <c r="Q101" s="63" t="str">
        <f t="shared" si="63"/>
        <v>3.08703997734521E-20</v>
      </c>
      <c r="R101" s="63">
        <f t="shared" si="77"/>
        <v>-195.10457746342976</v>
      </c>
      <c r="S101" s="63" t="str">
        <f t="shared" si="64"/>
        <v>8.78948882438566E-20</v>
      </c>
      <c r="T101" s="63">
        <f t="shared" si="78"/>
        <v>-190.56036381718488</v>
      </c>
      <c r="U101" s="63" t="str">
        <f t="shared" si="65"/>
        <v>9.99662095233592E-18</v>
      </c>
      <c r="V101" s="63">
        <f t="shared" si="79"/>
        <v>-170.00146774974837</v>
      </c>
      <c r="W101" s="63">
        <f t="shared" si="66"/>
        <v>109.08983404943042</v>
      </c>
      <c r="X101" s="63" t="str">
        <f t="shared" si="67"/>
        <v>30.628160606283-155.503574833669i</v>
      </c>
      <c r="Y101" s="90" t="str">
        <f t="shared" si="68"/>
        <v>1.28076090566244E-10-1.42546348327203E-10i</v>
      </c>
      <c r="Z101" s="90" t="str">
        <f t="shared" si="69"/>
        <v>3.0628160606283E-12-1.55503574833669E-11i</v>
      </c>
      <c r="AA101" s="90" t="str">
        <f t="shared" si="70"/>
        <v>6.4038045283122E-11-7.12731741636015E-11i</v>
      </c>
      <c r="AB101" s="90" t="str">
        <f t="shared" si="80"/>
        <v>9.07489948553509E-19</v>
      </c>
      <c r="AC101" s="90">
        <f t="shared" si="81"/>
        <v>-180.4215817655292</v>
      </c>
      <c r="AD101" s="90" t="str">
        <f t="shared" si="71"/>
        <v>5.01577624424728E-17</v>
      </c>
      <c r="AE101" s="63">
        <f t="shared" si="82"/>
        <v>-162.99661845793008</v>
      </c>
      <c r="AF101" s="63" t="str">
        <f t="shared" si="83"/>
        <v>7.60194584989559E-15</v>
      </c>
      <c r="AG101" s="63">
        <f t="shared" si="84"/>
        <v>-141.19075228283992</v>
      </c>
      <c r="AH101" s="116">
        <f t="shared" si="87"/>
        <v>-175</v>
      </c>
      <c r="AI101" s="63" t="str">
        <f t="shared" si="72"/>
        <v>1.39651532307507E-20</v>
      </c>
      <c r="AJ101" s="63">
        <f t="shared" si="85"/>
        <v>-198.54954294699502</v>
      </c>
      <c r="AK101" s="63">
        <f t="shared" si="86"/>
        <v>-141.15312451463225</v>
      </c>
      <c r="AL101" s="49">
        <f t="shared" si="73"/>
        <v>4.1793916210739039E-9</v>
      </c>
    </row>
    <row r="102" spans="1:38" x14ac:dyDescent="0.25">
      <c r="D102" s="49"/>
      <c r="E102" s="68">
        <v>5011.8723362727405</v>
      </c>
      <c r="F102" s="61" t="str">
        <f t="shared" si="74"/>
        <v>31490522.6247287i</v>
      </c>
      <c r="G102" s="83" t="str">
        <f t="shared" si="55"/>
        <v>-20.2152746855327-6.73133024441632i</v>
      </c>
      <c r="H102" s="62" t="str">
        <f t="shared" si="56"/>
        <v>-0.000249383559367122+0.000748939209875202i</v>
      </c>
      <c r="I102" s="62" t="str">
        <f t="shared" si="57"/>
        <v>-0.0149330662536453+0.0449587485240847i</v>
      </c>
      <c r="J102" s="89" t="str">
        <f t="shared" si="58"/>
        <v>-37.5308889904174+112.993659262284i</v>
      </c>
      <c r="K102" s="89" t="str">
        <f t="shared" si="59"/>
        <v>-0.00418620984405255-5.58812493318218i</v>
      </c>
      <c r="L102" s="89" t="str">
        <f t="shared" si="60"/>
        <v>1.00024888443756-0.000749312475401412i</v>
      </c>
      <c r="M102" s="63">
        <f t="shared" si="75"/>
        <v>-176.02059991327963</v>
      </c>
      <c r="N102" s="63">
        <f t="shared" si="61"/>
        <v>-149.51029995663981</v>
      </c>
      <c r="O102" s="63" t="str">
        <f t="shared" si="62"/>
        <v>2.51777544971244E-18-9.62964972193618E-35i</v>
      </c>
      <c r="P102" s="63">
        <f t="shared" si="76"/>
        <v>-175.9898300548289</v>
      </c>
      <c r="Q102" s="63" t="str">
        <f t="shared" si="63"/>
        <v>1.5688255692494E-20</v>
      </c>
      <c r="R102" s="63">
        <f t="shared" si="77"/>
        <v>-198.0442534100433</v>
      </c>
      <c r="S102" s="63" t="str">
        <f t="shared" si="64"/>
        <v>4.46679502355732E-20-1.50463276905253E-36i</v>
      </c>
      <c r="T102" s="63">
        <f t="shared" si="78"/>
        <v>-193.50003976379841</v>
      </c>
      <c r="U102" s="63" t="str">
        <f t="shared" si="65"/>
        <v>6.36127439025048E-18-7.52316384526264E-37i</v>
      </c>
      <c r="V102" s="63">
        <f t="shared" si="79"/>
        <v>-171.96455870953645</v>
      </c>
      <c r="W102" s="63">
        <f t="shared" si="66"/>
        <v>109.08983404943042</v>
      </c>
      <c r="X102" s="63" t="str">
        <f t="shared" si="67"/>
        <v>24.5433352055424-139.735218092906i</v>
      </c>
      <c r="Y102" s="90" t="str">
        <f t="shared" si="68"/>
        <v>1.22498278982092E-10-1.2809187887259E-10i</v>
      </c>
      <c r="Z102" s="90" t="str">
        <f t="shared" si="69"/>
        <v>2.45433352055424E-12-1.39735218092906E-11i</v>
      </c>
      <c r="AA102" s="90" t="str">
        <f t="shared" si="70"/>
        <v>6.1249139491046E-11-6.4045939436295E-11i</v>
      </c>
      <c r="AB102" s="90" t="str">
        <f t="shared" si="80"/>
        <v>6.16236424274577E-19</v>
      </c>
      <c r="AC102" s="90">
        <f t="shared" si="81"/>
        <v>-182.10252635142837</v>
      </c>
      <c r="AD102" s="90" t="str">
        <f t="shared" si="71"/>
        <v>3.98305584097004E-17</v>
      </c>
      <c r="AE102" s="63">
        <f t="shared" si="82"/>
        <v>-163.99783604899949</v>
      </c>
      <c r="AF102" s="63" t="str">
        <f t="shared" si="83"/>
        <v>6.03971922117463E-15</v>
      </c>
      <c r="AG102" s="63">
        <f t="shared" si="84"/>
        <v>-142.18983250704841</v>
      </c>
      <c r="AH102" s="116">
        <f t="shared" si="87"/>
        <v>-175</v>
      </c>
      <c r="AI102" s="63" t="str">
        <f t="shared" si="72"/>
        <v>7.0970540153901E-21</v>
      </c>
      <c r="AJ102" s="63">
        <f t="shared" si="85"/>
        <v>-201.48921889360855</v>
      </c>
      <c r="AK102" s="63">
        <f t="shared" si="86"/>
        <v>-142.15446000657838</v>
      </c>
      <c r="AL102" s="49">
        <f t="shared" si="73"/>
        <v>3.7237414453144051E-9</v>
      </c>
    </row>
    <row r="103" spans="1:38" x14ac:dyDescent="0.25">
      <c r="D103" s="49"/>
      <c r="E103" s="68">
        <v>5623.413251903512</v>
      </c>
      <c r="F103" s="61" t="str">
        <f t="shared" si="74"/>
        <v>35332947.5205591i</v>
      </c>
      <c r="G103" s="83" t="str">
        <f t="shared" si="55"/>
        <v>-16.3241180903149-4.81881615491313i</v>
      </c>
      <c r="H103" s="62" t="str">
        <f t="shared" si="56"/>
        <v>-0.000159113591569476+0.00053900978478003i</v>
      </c>
      <c r="I103" s="62" t="str">
        <f t="shared" si="57"/>
        <v>-0.00953089455258771+0.0323508717956252i</v>
      </c>
      <c r="J103" s="89" t="str">
        <f t="shared" si="58"/>
        <v>-23.9537506468388+81.3066089362893i</v>
      </c>
      <c r="K103" s="89" t="str">
        <f t="shared" si="59"/>
        <v>-0.00268468149651189-4.97997328247427i</v>
      </c>
      <c r="L103" s="89" t="str">
        <f t="shared" si="60"/>
        <v>1.00015884824254-0.000539181196593753i</v>
      </c>
      <c r="M103" s="63">
        <f t="shared" si="75"/>
        <v>-176.52059991327963</v>
      </c>
      <c r="N103" s="63">
        <f t="shared" si="61"/>
        <v>-149.51029995663981</v>
      </c>
      <c r="O103" s="63" t="str">
        <f t="shared" si="62"/>
        <v>1.27571389006558E-18-4.81482486096809E-35i</v>
      </c>
      <c r="P103" s="63">
        <f t="shared" si="76"/>
        <v>-178.94246715817371</v>
      </c>
      <c r="Q103" s="63" t="str">
        <f t="shared" si="63"/>
        <v>7.9508984882917E-21-3.76158192263132E-37i</v>
      </c>
      <c r="R103" s="63">
        <f t="shared" si="77"/>
        <v>-200.99583791285841</v>
      </c>
      <c r="S103" s="63" t="str">
        <f t="shared" si="64"/>
        <v>2.26379748624972E-20</v>
      </c>
      <c r="T103" s="63">
        <f t="shared" si="78"/>
        <v>-196.45162426661355</v>
      </c>
      <c r="U103" s="63" t="str">
        <f t="shared" si="65"/>
        <v>4.04127462788358E-18</v>
      </c>
      <c r="V103" s="63">
        <f t="shared" si="79"/>
        <v>-173.93481635743495</v>
      </c>
      <c r="W103" s="63">
        <f t="shared" si="66"/>
        <v>109.08983404943042</v>
      </c>
      <c r="X103" s="63" t="str">
        <f t="shared" si="67"/>
        <v>19.6329752955922-125.360867602294i</v>
      </c>
      <c r="Y103" s="90" t="str">
        <f t="shared" si="68"/>
        <v>1.17997071373943E-10-1.14915261073265E-10i</v>
      </c>
      <c r="Z103" s="90" t="str">
        <f t="shared" si="69"/>
        <v>1.96329752955922E-12-1.25360867602294E-11i</v>
      </c>
      <c r="AA103" s="90" t="str">
        <f t="shared" si="70"/>
        <v>5.89985356869715E-11-5.74576305366325E-11i</v>
      </c>
      <c r="AB103" s="90" t="str">
        <f t="shared" si="80"/>
        <v>4.22495707361372E-19</v>
      </c>
      <c r="AC103" s="90">
        <f t="shared" si="81"/>
        <v>-183.74177699208346</v>
      </c>
      <c r="AD103" s="90" t="str">
        <f t="shared" si="71"/>
        <v>3.16328330378469E-17</v>
      </c>
      <c r="AE103" s="63">
        <f t="shared" si="82"/>
        <v>-164.99861910910514</v>
      </c>
      <c r="AF103" s="63" t="str">
        <f t="shared" si="83"/>
        <v>4.76834976422594E-15</v>
      </c>
      <c r="AG103" s="63">
        <f t="shared" si="84"/>
        <v>-143.21631896073586</v>
      </c>
      <c r="AH103" s="116">
        <f t="shared" si="87"/>
        <v>-175</v>
      </c>
      <c r="AI103" s="63" t="str">
        <f t="shared" si="72"/>
        <v>3.59682791690391E-21</v>
      </c>
      <c r="AJ103" s="63">
        <f t="shared" si="85"/>
        <v>-204.44080339642372</v>
      </c>
      <c r="AK103" s="63">
        <f t="shared" si="86"/>
        <v>-143.18238259020771</v>
      </c>
      <c r="AL103" s="49">
        <f t="shared" si="73"/>
        <v>3.2975186473182469E-9</v>
      </c>
    </row>
    <row r="104" spans="1:38" x14ac:dyDescent="0.25">
      <c r="D104" s="49"/>
      <c r="E104" s="68">
        <v>6309.5734448019548</v>
      </c>
      <c r="F104" s="61" t="str">
        <f t="shared" si="74"/>
        <v>39644219.1629501i</v>
      </c>
      <c r="G104" s="83" t="str">
        <f t="shared" ref="G104:G128" si="88">IMDIV(IMDIV(IMPRODUCT(1/$C$24,IMDIV(1,F104),IMSUM(IMDIV(F104,$C$21),1)),(IMSUM(IMDIV(F104,$C$22),1))),IMSUM(IMDIV(F104,$C$23),1))</f>
        <v>-13.137758279393-3.44194973614759i</v>
      </c>
      <c r="H104" s="62" t="str">
        <f t="shared" ref="H104:H128" si="89">IMDIV(IMDIV(IMPRODUCT($C$19,$C$14,G104),F104),$C$20)</f>
        <v>-0.000101291136773311+0.00038662344682062i</v>
      </c>
      <c r="I104" s="62" t="str">
        <f t="shared" ref="I104:I128" si="90">IMDIV(IMDIV(IMPRODUCT($C$19,$C$14,G104),F104),IMSUM(1,H104))</f>
        <v>-0.00606911247649601+0.0232021034378548i</v>
      </c>
      <c r="J104" s="89" t="str">
        <f t="shared" ref="J104:J128" si="91">IMDIV(IMDIV(IMPRODUCT(($C$14*2*PI()),G104),F104),IMSUM(1,H104))</f>
        <v>-15.253343335976+58.3132461665558i</v>
      </c>
      <c r="K104" s="89" t="str">
        <f t="shared" ref="K104:K128" si="92">IMDIV(IMDIV(($C$14*2*PI()),F104),IMSUM(1,H104))</f>
        <v>-0.00171606660350694-4.43814982066003i</v>
      </c>
      <c r="L104" s="89" t="str">
        <f t="shared" ref="L104:L128" si="93">IMDIV(1,IMSUM(1,H104))</f>
        <v>1.00010115187461-0.000386701723964246i</v>
      </c>
      <c r="M104" s="63">
        <f t="shared" si="75"/>
        <v>-177.02059991327963</v>
      </c>
      <c r="N104" s="63">
        <f t="shared" ref="N104:N128" si="94">$C$25+(10*LOG10($C$13))</f>
        <v>-149.51029995663981</v>
      </c>
      <c r="O104" s="63" t="str">
        <f t="shared" ref="O104:O128" si="95">IMPRODUCT((POWER(10,M104/10)+POWER(10,N104/10)),I104,(IMCONJUGATE(I104)))</f>
        <v>6.4496674320807E-19</v>
      </c>
      <c r="P104" s="63">
        <f t="shared" si="76"/>
        <v>-181.90462678564091</v>
      </c>
      <c r="Q104" s="63" t="str">
        <f t="shared" ref="Q104:Q128" si="96">IMPRODUCT(POWER(SQRT($C$32/$C$37),2),J104,(IMCONJUGATE(J104)),0.5)</f>
        <v>4.02062973862319E-21</v>
      </c>
      <c r="R104" s="63">
        <f t="shared" si="77"/>
        <v>-203.95705919405611</v>
      </c>
      <c r="S104" s="63" t="str">
        <f t="shared" ref="S104:S128" si="97">IMPRODUCT(POWER(SQRT($C$28*$C$13)*SQRT($C$32/$C$34),2)+POWER(SQRT($C$29+$C$28*$C$13)*SQRT($C$32/$C$34),2),J104,(IMCONJUGATE(J104)),0.5)</f>
        <v>1.14476263391355E-20</v>
      </c>
      <c r="T104" s="63">
        <f t="shared" si="78"/>
        <v>-199.41284554781123</v>
      </c>
      <c r="U104" s="63" t="str">
        <f t="shared" ref="U104:U128" si="98">IMPRODUCT(IMPRODUCT(SQRT($C$32*$C$38),IMDIV($C$39/($C$39+$C$40),IMSUM(IMPRODUCT(F104,$C$38,($C$39*$C$40)/($C$39+$C$40)),1))),IMCONJUGATE(IMPRODUCT(SQRT($C$32*$C$38),IMDIV($C$39/($C$39+$C$40),IMSUM(IMPRODUCT(F104,$C$38,($C$39*$C$40)/($C$39+$C$40)),1)))),K104,(IMCONJUGATE(K104)),0.5)</f>
        <v>2.56394259973E-18+1.88079096131566E-37i</v>
      </c>
      <c r="V104" s="63">
        <f t="shared" si="79"/>
        <v>-175.91091701812957</v>
      </c>
      <c r="W104" s="63">
        <f t="shared" ref="W104:W128" si="99">$C$37*($C$34*($C$29+$C$28*$C$13)+$C$34*$C$28*$C$13)/($C$37+($C$34*($C$29+$C$28*$C$13)+$C$34*$C$28*$C$13))</f>
        <v>109.08983404943042</v>
      </c>
      <c r="X104" s="63" t="str">
        <f t="shared" ref="X104:X128" si="100">IMDIV(IMPRODUCT(IMDIV(1/($C$39+$C$40),F104),IMSUM(1,IMPRODUCT(F104,$C$38,$C$39))),IMSUM(IMPRODUCT(F104,$C$38,($C$39*$C$40)/($C$39+$C$40)),1))</f>
        <v>15.6828945831216-112.317130559174i</v>
      </c>
      <c r="Y104" s="90" t="str">
        <f t="shared" ref="Y104:Y128" si="101">IMPRODUCT($C$30,IMSUM(1,IMDIV(X104,W104)))</f>
        <v>1.14376128371426E-10-1.02958384287468E-10i</v>
      </c>
      <c r="Z104" s="90" t="str">
        <f t="shared" ref="Z104:Z128" si="102">IMPRODUCT($C$31,X104)</f>
        <v>1.56828945831216E-12-1.12317130559174E-11i</v>
      </c>
      <c r="AA104" s="90" t="str">
        <f t="shared" ref="AA104:AA128" si="103">IMPRODUCT($C$31,$C$33,IMSUM(1,IMDIV(X104,W104)))</f>
        <v>5.7188064185713E-11-5.1479192143734E-11i</v>
      </c>
      <c r="AB104" s="90" t="str">
        <f t="shared" si="80"/>
        <v>2.92813507107333E-19</v>
      </c>
      <c r="AC104" s="90">
        <f t="shared" si="81"/>
        <v>-185.33408893710359</v>
      </c>
      <c r="AD104" s="90" t="str">
        <f t="shared" ref="AD104:AD128" si="104">(IMPRODUCT(POWER(10,($C$17-20*LOG(E104*1000/$C$18))/10),L104,(IMCONJUGATE(L104))))</f>
        <v>2.51239499687618E-17-1.50463276905253E-36i</v>
      </c>
      <c r="AE104" s="63">
        <f t="shared" si="82"/>
        <v>-165.99912080110838</v>
      </c>
      <c r="AF104" s="63" t="str">
        <f t="shared" si="83"/>
        <v>3.73936482167385E-15</v>
      </c>
      <c r="AG104" s="63">
        <f t="shared" si="84"/>
        <v>-144.2720216193573</v>
      </c>
      <c r="AH104" s="116">
        <f t="shared" si="87"/>
        <v>-175</v>
      </c>
      <c r="AI104" s="63" t="str">
        <f t="shared" ref="AI104:AI128" si="105">IMPRODUCT(POWER(10,AH104/10),I104,(IMCONJUGATE(I104)))</f>
        <v>1.81885271315058E-21</v>
      </c>
      <c r="AJ104" s="63">
        <f t="shared" si="85"/>
        <v>-207.40202467762134</v>
      </c>
      <c r="AK104" s="63">
        <f t="shared" si="86"/>
        <v>-144.23888208983439</v>
      </c>
      <c r="AL104" s="49">
        <f t="shared" ref="AL104:AL127" si="106">10^((AK104+(10*LOG((E105-E104)*1000)))/10)</f>
        <v>2.9009304065142057E-9</v>
      </c>
    </row>
    <row r="105" spans="1:38" x14ac:dyDescent="0.25">
      <c r="D105" s="49"/>
      <c r="E105" s="68">
        <v>7079.4578438414082</v>
      </c>
      <c r="F105" s="61" t="str">
        <f t="shared" si="74"/>
        <v>44481545.5072216i</v>
      </c>
      <c r="G105" s="83" t="str">
        <f t="shared" si="88"/>
        <v>-10.5450820991151-2.45406864263571i</v>
      </c>
      <c r="H105" s="62" t="str">
        <f t="shared" si="89"/>
        <v>-0.000064365571169513+0.000276577525398788i</v>
      </c>
      <c r="I105" s="62" t="str">
        <f t="shared" si="90"/>
        <v>-0.00385759226810294+0.0165967867089069i</v>
      </c>
      <c r="J105" s="89" t="str">
        <f t="shared" si="91"/>
        <v>-9.69518682401356+41.712274558319i</v>
      </c>
      <c r="K105" s="89" t="str">
        <f t="shared" si="92"/>
        <v>-0.00109403393616659-3.95535941132619i</v>
      </c>
      <c r="L105" s="89" t="str">
        <f t="shared" si="93"/>
        <v>1.00006429320447-0.000276613111815115i</v>
      </c>
      <c r="M105" s="63">
        <f t="shared" si="75"/>
        <v>-177.52059991327963</v>
      </c>
      <c r="N105" s="63">
        <f t="shared" si="94"/>
        <v>-149.51029995663981</v>
      </c>
      <c r="O105" s="63" t="str">
        <f t="shared" si="95"/>
        <v>3.25502672571429E-19</v>
      </c>
      <c r="P105" s="63">
        <f t="shared" si="76"/>
        <v>-184.87445441263964</v>
      </c>
      <c r="Q105" s="63" t="str">
        <f t="shared" si="96"/>
        <v>2.0295276159951E-21</v>
      </c>
      <c r="R105" s="63">
        <f t="shared" si="77"/>
        <v>-206.92605034815929</v>
      </c>
      <c r="S105" s="63" t="str">
        <f t="shared" si="97"/>
        <v>5.77851612887493E-21</v>
      </c>
      <c r="T105" s="63">
        <f t="shared" si="78"/>
        <v>-202.38183670191447</v>
      </c>
      <c r="U105" s="63" t="str">
        <f t="shared" si="98"/>
        <v>1.6248913050555E-18</v>
      </c>
      <c r="V105" s="63">
        <f t="shared" si="79"/>
        <v>-177.89175685265693</v>
      </c>
      <c r="W105" s="63">
        <f t="shared" si="99"/>
        <v>109.08983404943042</v>
      </c>
      <c r="X105" s="63" t="str">
        <f t="shared" si="100"/>
        <v>12.5133699348399-100.524062527286i</v>
      </c>
      <c r="Y105" s="90" t="str">
        <f t="shared" si="101"/>
        <v>1.11470702145509E-10-9.21479653931244E-11i</v>
      </c>
      <c r="Z105" s="90" t="str">
        <f t="shared" si="102"/>
        <v>1.25133699348399E-12-1.00524062527286E-11i</v>
      </c>
      <c r="AA105" s="90" t="str">
        <f t="shared" si="103"/>
        <v>5.57353510727545E-11-4.60739826965622E-11i</v>
      </c>
      <c r="AB105" s="90" t="str">
        <f t="shared" si="80"/>
        <v>2.05329701528243E-19</v>
      </c>
      <c r="AC105" s="90">
        <f t="shared" si="81"/>
        <v>-186.87548224147082</v>
      </c>
      <c r="AD105" s="90" t="str">
        <f t="shared" si="104"/>
        <v>1.99551903949961E-17</v>
      </c>
      <c r="AE105" s="63">
        <f t="shared" si="82"/>
        <v>-166.99944124201596</v>
      </c>
      <c r="AF105" s="63" t="str">
        <f t="shared" si="83"/>
        <v>2.91054721628351E-15</v>
      </c>
      <c r="AG105" s="63">
        <f t="shared" si="84"/>
        <v>-145.36025350989974</v>
      </c>
      <c r="AH105" s="116">
        <f t="shared" si="87"/>
        <v>-175</v>
      </c>
      <c r="AI105" s="63" t="str">
        <f t="shared" si="105"/>
        <v>9.18117820028543E-22</v>
      </c>
      <c r="AJ105" s="63">
        <f t="shared" si="85"/>
        <v>-210.37101583172466</v>
      </c>
      <c r="AK105" s="63">
        <f t="shared" si="86"/>
        <v>-145.3273726896382</v>
      </c>
      <c r="AL105" s="49">
        <f t="shared" si="106"/>
        <v>2.5333094909745824E-9</v>
      </c>
    </row>
    <row r="106" spans="1:38" x14ac:dyDescent="0.25">
      <c r="D106" s="49"/>
      <c r="E106" s="68">
        <v>7943.2823472428472</v>
      </c>
      <c r="F106" s="61" t="str">
        <f t="shared" si="74"/>
        <v>49909114.9349752i</v>
      </c>
      <c r="G106" s="83" t="str">
        <f t="shared" si="88"/>
        <v>-8.44602197224002-1.7472018660584i</v>
      </c>
      <c r="H106" s="62" t="str">
        <f t="shared" si="89"/>
        <v>-0.000040842282611581+0.000197432719730348i</v>
      </c>
      <c r="I106" s="62" t="str">
        <f t="shared" si="90"/>
        <v>-0.00244829797908082+0.0118469304136297i</v>
      </c>
      <c r="J106" s="89" t="str">
        <f t="shared" si="91"/>
        <v>-6.15324395590323+29.7745836440386i</v>
      </c>
      <c r="K106" s="89" t="str">
        <f t="shared" si="92"/>
        <v>-0.000696005414975524-3.52513499016893i</v>
      </c>
      <c r="L106" s="89" t="str">
        <f t="shared" si="93"/>
        <v>1.00004080496632-0.000197448840227161i</v>
      </c>
      <c r="M106" s="63">
        <f t="shared" si="75"/>
        <v>-178.02059991327965</v>
      </c>
      <c r="N106" s="63">
        <f t="shared" si="94"/>
        <v>-149.51029995663981</v>
      </c>
      <c r="O106" s="63" t="str">
        <f t="shared" si="95"/>
        <v>1.64042459139483E-19</v>
      </c>
      <c r="P106" s="63">
        <f t="shared" si="76"/>
        <v>-187.85043728882829</v>
      </c>
      <c r="Q106" s="63" t="str">
        <f t="shared" si="96"/>
        <v>1.02298965487476E-21</v>
      </c>
      <c r="R106" s="63">
        <f t="shared" si="77"/>
        <v>-209.90128758129018</v>
      </c>
      <c r="S106" s="63" t="str">
        <f t="shared" si="97"/>
        <v>2.91267887846286E-21+9.4039548065783E-38i</v>
      </c>
      <c r="T106" s="63">
        <f t="shared" si="78"/>
        <v>-205.35707393504532</v>
      </c>
      <c r="U106" s="63" t="str">
        <f t="shared" si="98"/>
        <v>1.02886299871986E-18</v>
      </c>
      <c r="V106" s="63">
        <f t="shared" si="79"/>
        <v>-179.87642451147363</v>
      </c>
      <c r="W106" s="63">
        <f t="shared" si="99"/>
        <v>109.08983404943042</v>
      </c>
      <c r="X106" s="63" t="str">
        <f t="shared" si="100"/>
        <v>9.97534523041063-89.892847542583i</v>
      </c>
      <c r="Y106" s="90" t="str">
        <f t="shared" si="101"/>
        <v>1.09144156572729E-10-8.24025889542109E-11i</v>
      </c>
      <c r="Z106" s="90" t="str">
        <f t="shared" si="102"/>
        <v>9.97534523041063E-13-8.9892847542583E-12i</v>
      </c>
      <c r="AA106" s="90" t="str">
        <f t="shared" si="103"/>
        <v>5.45720782863645E-11-4.12012944771054E-11i</v>
      </c>
      <c r="AB106" s="90" t="str">
        <f t="shared" si="80"/>
        <v>1.45764336217295E-19+5.87747175411144E-39i</v>
      </c>
      <c r="AC106" s="90">
        <f t="shared" si="81"/>
        <v>-188.36348720727608</v>
      </c>
      <c r="AD106" s="90" t="str">
        <f t="shared" si="104"/>
        <v>1.58502259991541E-17+3.76158192263132E-37i</v>
      </c>
      <c r="AE106" s="63">
        <f t="shared" si="82"/>
        <v>-167.9996454104965</v>
      </c>
      <c r="AF106" s="63" t="str">
        <f t="shared" si="83"/>
        <v>2.2459090103949E-15</v>
      </c>
      <c r="AG106" s="63">
        <f t="shared" si="84"/>
        <v>-146.48607842501929</v>
      </c>
      <c r="AH106" s="116">
        <f t="shared" si="87"/>
        <v>-175</v>
      </c>
      <c r="AI106" s="63" t="str">
        <f t="shared" si="105"/>
        <v>4.62780119099228E-22-1.17549435082229E-38i</v>
      </c>
      <c r="AJ106" s="63">
        <f t="shared" si="85"/>
        <v>-213.34625306485538</v>
      </c>
      <c r="AK106" s="63">
        <f t="shared" si="86"/>
        <v>-146.45295813108919</v>
      </c>
      <c r="AL106" s="49">
        <f t="shared" si="106"/>
        <v>2.1934599345758522E-9</v>
      </c>
    </row>
    <row r="107" spans="1:38" x14ac:dyDescent="0.25">
      <c r="D107" s="49"/>
      <c r="E107" s="68">
        <v>8912.5093813374915</v>
      </c>
      <c r="F107" s="61" t="str">
        <f t="shared" si="74"/>
        <v>55998947.99492i</v>
      </c>
      <c r="G107" s="83" t="str">
        <f t="shared" si="88"/>
        <v>-6.75331091321505-1.24250860656158i</v>
      </c>
      <c r="H107" s="62" t="str">
        <f t="shared" si="89"/>
        <v>-0.0000258860822609265+0.000140696620457923i</v>
      </c>
      <c r="I107" s="62" t="str">
        <f t="shared" si="90"/>
        <v>-0.0015520173174927+0.00844223412743394i</v>
      </c>
      <c r="J107" s="89" t="str">
        <f t="shared" si="91"/>
        <v>-3.90064496230335+21.2176485717051i</v>
      </c>
      <c r="K107" s="89" t="str">
        <f t="shared" si="92"/>
        <v>-0.00044204264937087-3.14173293700882i</v>
      </c>
      <c r="L107" s="89" t="str">
        <f t="shared" si="93"/>
        <v>1.00002586695529-0.000140703902123899i</v>
      </c>
      <c r="M107" s="63">
        <f t="shared" si="75"/>
        <v>-178.52059991327963</v>
      </c>
      <c r="N107" s="63">
        <f t="shared" si="94"/>
        <v>-149.51029995663981</v>
      </c>
      <c r="O107" s="63" t="str">
        <f t="shared" si="95"/>
        <v>8.25781538684507E-20</v>
      </c>
      <c r="P107" s="63">
        <f t="shared" si="76"/>
        <v>-190.8313483051565</v>
      </c>
      <c r="Q107" s="63" t="str">
        <f t="shared" si="96"/>
        <v>5.1504669718465E-22-1.17549435082229E-38i</v>
      </c>
      <c r="R107" s="63">
        <f t="shared" si="77"/>
        <v>-212.88153393463239</v>
      </c>
      <c r="S107" s="63" t="str">
        <f t="shared" si="97"/>
        <v>1.46645240170629E-21-4.70197740328915E-38i</v>
      </c>
      <c r="T107" s="63">
        <f t="shared" si="78"/>
        <v>-208.33732028838753</v>
      </c>
      <c r="U107" s="63" t="str">
        <f t="shared" si="98"/>
        <v>6.510024874103E-19-1.17549435082229E-38i</v>
      </c>
      <c r="V107" s="63">
        <f t="shared" si="79"/>
        <v>-181.86417352036258</v>
      </c>
      <c r="W107" s="63">
        <f t="shared" si="99"/>
        <v>109.08983404943042</v>
      </c>
      <c r="X107" s="63" t="str">
        <f t="shared" si="100"/>
        <v>7.94631938963769-80.3313243784658i</v>
      </c>
      <c r="Y107" s="90" t="str">
        <f t="shared" si="101"/>
        <v>1.07284197889638E-10-7.36377730138139E-11i</v>
      </c>
      <c r="Z107" s="90" t="str">
        <f t="shared" si="102"/>
        <v>7.94631938963769E-13-8.03313243784658E-12i</v>
      </c>
      <c r="AA107" s="90" t="str">
        <f t="shared" si="103"/>
        <v>5.3642098944819E-11-3.6818886506907E-11i</v>
      </c>
      <c r="AB107" s="90" t="str">
        <f t="shared" si="80"/>
        <v>1.04778607609261E-19+2.93873587705572E-39i</v>
      </c>
      <c r="AC107" s="90">
        <f t="shared" si="81"/>
        <v>-189.79727377138624</v>
      </c>
      <c r="AD107" s="90" t="str">
        <f t="shared" si="104"/>
        <v>1.25899056669487E-17-3.76158192263132E-37i</v>
      </c>
      <c r="AE107" s="63">
        <f t="shared" si="82"/>
        <v>-168.99977523941152</v>
      </c>
      <c r="AF107" s="63" t="str">
        <f t="shared" si="83"/>
        <v>1.71527597501966E-15</v>
      </c>
      <c r="AG107" s="63">
        <f t="shared" si="84"/>
        <v>-147.65665995279622</v>
      </c>
      <c r="AH107" s="116">
        <f t="shared" si="87"/>
        <v>-175</v>
      </c>
      <c r="AI107" s="63" t="str">
        <f t="shared" si="105"/>
        <v>2.32996854590827E-22</v>
      </c>
      <c r="AJ107" s="63">
        <f t="shared" si="85"/>
        <v>-216.32649941819764</v>
      </c>
      <c r="AK107" s="63">
        <f t="shared" si="86"/>
        <v>-147.62278746485421</v>
      </c>
      <c r="AL107" s="49">
        <f t="shared" si="106"/>
        <v>1.879952051615517E-9</v>
      </c>
    </row>
    <row r="108" spans="1:38" x14ac:dyDescent="0.25">
      <c r="D108" s="49"/>
      <c r="E108" s="68">
        <v>10000</v>
      </c>
      <c r="F108" s="61" t="str">
        <f t="shared" si="74"/>
        <v>62831853.0717959i</v>
      </c>
      <c r="G108" s="83" t="str">
        <f t="shared" si="88"/>
        <v>-5.39254963807047-0.882788426981455i</v>
      </c>
      <c r="H108" s="62" t="str">
        <f t="shared" si="89"/>
        <v>-0.0000163916832168153+0.000100129275256188i</v>
      </c>
      <c r="I108" s="62" t="str">
        <f t="shared" si="90"/>
        <v>-0.000982915532627796+0.00600795341446035i</v>
      </c>
      <c r="J108" s="89" t="str">
        <f t="shared" si="91"/>
        <v>-2.47033617312224+15.0996338479827i</v>
      </c>
      <c r="K108" s="89" t="str">
        <f t="shared" si="92"/>
        <v>-0.000280371159341483-2.80004586939152i</v>
      </c>
      <c r="L108" s="89" t="str">
        <f t="shared" si="93"/>
        <v>1.00001638192554-0.000100132556907673i</v>
      </c>
      <c r="M108" s="63">
        <f t="shared" si="75"/>
        <v>-179.02059991327963</v>
      </c>
      <c r="N108" s="63">
        <f t="shared" si="94"/>
        <v>-149.51029995663981</v>
      </c>
      <c r="O108" s="63" t="str">
        <f t="shared" si="95"/>
        <v>4.15317611287587E-20+7.52316384526264E-37i</v>
      </c>
      <c r="P108" s="63">
        <f t="shared" si="76"/>
        <v>-193.81619652509551</v>
      </c>
      <c r="Q108" s="63" t="str">
        <f t="shared" si="96"/>
        <v>2.59072330154195E-22</v>
      </c>
      <c r="R108" s="63">
        <f t="shared" si="77"/>
        <v>-215.8657896873184</v>
      </c>
      <c r="S108" s="63" t="str">
        <f t="shared" si="97"/>
        <v>7.37636495577916E-22</v>
      </c>
      <c r="T108" s="63">
        <f t="shared" si="78"/>
        <v>-211.32157604107357</v>
      </c>
      <c r="U108" s="63" t="str">
        <f t="shared" si="98"/>
        <v>4.11680570095591E-19</v>
      </c>
      <c r="V108" s="63">
        <f t="shared" si="79"/>
        <v>-183.85439629721958</v>
      </c>
      <c r="W108" s="63">
        <f t="shared" si="99"/>
        <v>109.08983404943042</v>
      </c>
      <c r="X108" s="63" t="str">
        <f t="shared" si="100"/>
        <v>6.32633203311222-71.7478169916831i</v>
      </c>
      <c r="Y108" s="90" t="str">
        <f t="shared" si="101"/>
        <v>1.05799194845457E-10-6.57694803708043E-11i</v>
      </c>
      <c r="Z108" s="90" t="str">
        <f t="shared" si="102"/>
        <v>6.32633203311222E-13-7.17478169916831E-12i</v>
      </c>
      <c r="AA108" s="90" t="str">
        <f t="shared" si="103"/>
        <v>5.28995974227285E-11-3.28847401854022E-11i</v>
      </c>
      <c r="AB108" s="90" t="str">
        <f t="shared" si="80"/>
        <v>7.62494210523267E-20</v>
      </c>
      <c r="AC108" s="90">
        <f t="shared" si="81"/>
        <v>-191.17763449485889</v>
      </c>
      <c r="AD108" s="90" t="str">
        <f t="shared" si="104"/>
        <v>1.00003277414598E-17-1.88079096131566E-37i</v>
      </c>
      <c r="AE108" s="63">
        <f t="shared" si="82"/>
        <v>-169.99985766602495</v>
      </c>
      <c r="AF108" s="63" t="str">
        <f t="shared" si="83"/>
        <v>1.29367502005768E-15</v>
      </c>
      <c r="AG108" s="63">
        <f t="shared" si="84"/>
        <v>-148.88174807687011</v>
      </c>
      <c r="AH108" s="116">
        <v>-175</v>
      </c>
      <c r="AI108" s="63" t="str">
        <f t="shared" si="105"/>
        <v>1.17199155663748E-22</v>
      </c>
      <c r="AJ108" s="63">
        <f t="shared" si="85"/>
        <v>-219.31075517088371</v>
      </c>
      <c r="AK108" s="63">
        <f t="shared" si="86"/>
        <v>-148.84653831639761</v>
      </c>
      <c r="AL108" s="49">
        <f t="shared" si="106"/>
        <v>1.5913719087198984E-9</v>
      </c>
    </row>
    <row r="109" spans="1:38" x14ac:dyDescent="0.25">
      <c r="E109" s="68">
        <v>11220.184543019701</v>
      </c>
      <c r="F109" s="61" t="str">
        <f t="shared" si="74"/>
        <v>70498498.6645449i</v>
      </c>
      <c r="G109" s="83" t="str">
        <f t="shared" si="88"/>
        <v>-4.30134668012572-0.626751881953828i</v>
      </c>
      <c r="H109" s="62" t="str">
        <f t="shared" si="89"/>
        <v>-0.0000103720014297819+0.0000711821937848412i</v>
      </c>
      <c r="I109" s="62" t="str">
        <f t="shared" si="90"/>
        <v>-0.000622022516817593+0.00427102020304545i</v>
      </c>
      <c r="J109" s="89" t="str">
        <f t="shared" si="91"/>
        <v>-1.56331309536127+10.734244554577i</v>
      </c>
      <c r="K109" s="89" t="str">
        <f t="shared" si="92"/>
        <v>-0.000177639035595113-2.49552849775488i</v>
      </c>
      <c r="L109" s="89" t="str">
        <f t="shared" si="93"/>
        <v>1.00001036704195-0.0000711836700507576i</v>
      </c>
      <c r="M109" s="63">
        <f t="shared" si="75"/>
        <v>-179.52059991327965</v>
      </c>
      <c r="N109" s="63">
        <f t="shared" si="94"/>
        <v>-149.51029995663981</v>
      </c>
      <c r="O109" s="63" t="str">
        <f t="shared" si="95"/>
        <v>2.08728396469633E-20</v>
      </c>
      <c r="P109" s="63">
        <f t="shared" si="76"/>
        <v>-196.80418463291295</v>
      </c>
      <c r="Q109" s="63" t="str">
        <f t="shared" si="96"/>
        <v>1.30219202417364E-22-2.93873587705572E-39i</v>
      </c>
      <c r="R109" s="63">
        <f t="shared" si="77"/>
        <v>-218.853249690014</v>
      </c>
      <c r="S109" s="63" t="str">
        <f t="shared" si="97"/>
        <v>3.70763006882773E-22</v>
      </c>
      <c r="T109" s="63">
        <f t="shared" si="78"/>
        <v>-214.30903604376911</v>
      </c>
      <c r="U109" s="63" t="str">
        <f t="shared" si="98"/>
        <v>2.60219550217018E-19</v>
      </c>
      <c r="V109" s="63">
        <f t="shared" si="79"/>
        <v>-185.84660078134092</v>
      </c>
      <c r="W109" s="63">
        <f t="shared" si="99"/>
        <v>109.08983404943042</v>
      </c>
      <c r="X109" s="63" t="str">
        <f t="shared" si="100"/>
        <v>5.03427296588092-64.0536756138896i</v>
      </c>
      <c r="Y109" s="90" t="str">
        <f t="shared" si="101"/>
        <v>1.04614795695445E-10-5.87164479367214E-11i</v>
      </c>
      <c r="Z109" s="90" t="str">
        <f t="shared" si="102"/>
        <v>5.03427296588092E-13-6.40536756138896E-12i</v>
      </c>
      <c r="AA109" s="90" t="str">
        <f t="shared" si="103"/>
        <v>5.23073978477225E-11-2.93582239683607E-11i</v>
      </c>
      <c r="AB109" s="90" t="str">
        <f t="shared" si="80"/>
        <v>5.61458902625486E-20-7.3468396926393E-40i</v>
      </c>
      <c r="AC109" s="90">
        <f t="shared" si="81"/>
        <v>-192.50682027499022</v>
      </c>
      <c r="AD109" s="90" t="str">
        <f t="shared" si="104"/>
        <v>7.94344708502856E-18</v>
      </c>
      <c r="AE109" s="63">
        <f t="shared" si="82"/>
        <v>-170.99990993147884</v>
      </c>
      <c r="AF109" s="63" t="str">
        <f t="shared" si="83"/>
        <v>9.60648504097134E-16</v>
      </c>
      <c r="AG109" s="63">
        <f t="shared" si="84"/>
        <v>-150.17435489183703</v>
      </c>
      <c r="AH109" s="116">
        <v>-175</v>
      </c>
      <c r="AI109" s="63" t="str">
        <f t="shared" si="105"/>
        <v>5.89085703032748E-23+1.46936793852786E-39i</v>
      </c>
      <c r="AJ109" s="63">
        <f t="shared" si="85"/>
        <v>-222.29821517357934</v>
      </c>
      <c r="AK109" s="63">
        <f t="shared" si="86"/>
        <v>-150.13707709610026</v>
      </c>
      <c r="AL109" s="49">
        <f t="shared" si="106"/>
        <v>1.3265322400760756E-9</v>
      </c>
    </row>
    <row r="110" spans="1:38" x14ac:dyDescent="0.25">
      <c r="E110" s="68">
        <v>12589.2541179417</v>
      </c>
      <c r="F110" s="61" t="str">
        <f t="shared" si="74"/>
        <v>79100616.5022014i</v>
      </c>
      <c r="G110" s="83" t="str">
        <f t="shared" si="88"/>
        <v>-3.42801910451811-0.44471434659703i</v>
      </c>
      <c r="H110" s="62" t="str">
        <f t="shared" si="89"/>
        <v>-6.55915753006505E-06+0.0000505603596885557i</v>
      </c>
      <c r="I110" s="62" t="str">
        <f t="shared" si="90"/>
        <v>-0.000393398649157577+0.00303366136995336i</v>
      </c>
      <c r="J110" s="89" t="str">
        <f t="shared" si="91"/>
        <v>-0.988718644900473+7.62442261865968i</v>
      </c>
      <c r="K110" s="89" t="str">
        <f t="shared" si="92"/>
        <v>-0.000112453734434827-2.22413363998519i</v>
      </c>
      <c r="L110" s="89" t="str">
        <f t="shared" si="93"/>
        <v>1.00000655664415-0.000050561022832556i</v>
      </c>
      <c r="M110" s="63">
        <f t="shared" si="75"/>
        <v>-180.02059991327963</v>
      </c>
      <c r="N110" s="63">
        <f t="shared" si="94"/>
        <v>-149.51029995663981</v>
      </c>
      <c r="O110" s="63" t="str">
        <f t="shared" si="95"/>
        <v>1.0484137337424E-20+1.88079096131566E-37i</v>
      </c>
      <c r="P110" s="63">
        <f t="shared" si="76"/>
        <v>-199.79467298628265</v>
      </c>
      <c r="Q110" s="63" t="str">
        <f t="shared" si="96"/>
        <v>6.54143858748848E-23+1.46936793852786E-39i</v>
      </c>
      <c r="R110" s="63">
        <f t="shared" si="77"/>
        <v>-221.84326731507011</v>
      </c>
      <c r="S110" s="63" t="str">
        <f t="shared" si="97"/>
        <v>1.86249293115992E-22</v>
      </c>
      <c r="T110" s="63">
        <f t="shared" si="78"/>
        <v>-217.29905366882522</v>
      </c>
      <c r="U110" s="63" t="str">
        <f t="shared" si="98"/>
        <v>1.6442240440289E-19</v>
      </c>
      <c r="V110" s="63">
        <f t="shared" si="79"/>
        <v>-187.84039005253408</v>
      </c>
      <c r="W110" s="63">
        <f t="shared" si="99"/>
        <v>109.08983404943042</v>
      </c>
      <c r="X110" s="63" t="str">
        <f t="shared" si="100"/>
        <v>4.00461844689439-57.164865356471i</v>
      </c>
      <c r="Y110" s="90" t="str">
        <f t="shared" si="101"/>
        <v>1.03670936418402E-10-5.24016429712127E-11i</v>
      </c>
      <c r="Z110" s="90" t="str">
        <f t="shared" si="102"/>
        <v>4.00461844689439E-13-5.7164865356471E-12i</v>
      </c>
      <c r="AA110" s="90" t="str">
        <f t="shared" si="103"/>
        <v>5.1835468209201E-11-2.62008214856064E-11i</v>
      </c>
      <c r="AB110" s="90" t="str">
        <f t="shared" si="80"/>
        <v>4.17997964583178E-20</v>
      </c>
      <c r="AC110" s="90">
        <f t="shared" si="81"/>
        <v>-193.78825832991583</v>
      </c>
      <c r="AD110" s="90" t="str">
        <f t="shared" si="104"/>
        <v>6.30965620045863E-18</v>
      </c>
      <c r="AE110" s="63">
        <f t="shared" si="82"/>
        <v>-171.99994303879706</v>
      </c>
      <c r="AF110" s="63" t="str">
        <f t="shared" si="83"/>
        <v>6.99568688712816E-16</v>
      </c>
      <c r="AG110" s="63">
        <f t="shared" si="84"/>
        <v>-151.55169636905708</v>
      </c>
      <c r="AH110" s="116">
        <v>-175</v>
      </c>
      <c r="AI110" s="63" t="str">
        <f t="shared" si="105"/>
        <v>2.95921636565209E-23</v>
      </c>
      <c r="AJ110" s="63">
        <f t="shared" si="85"/>
        <v>-225.28823279863536</v>
      </c>
      <c r="AK110" s="63">
        <f t="shared" si="86"/>
        <v>-151.51136659306832</v>
      </c>
      <c r="AL110" s="49">
        <f t="shared" si="106"/>
        <v>1.0846481000676036E-9</v>
      </c>
    </row>
    <row r="111" spans="1:38" x14ac:dyDescent="0.25">
      <c r="E111" s="68">
        <v>14125.375446227599</v>
      </c>
      <c r="F111" s="61" t="str">
        <f t="shared" si="74"/>
        <v>88752351.4621325i</v>
      </c>
      <c r="G111" s="83" t="str">
        <f t="shared" si="88"/>
        <v>-2.7301507025265-0.315402239611337i</v>
      </c>
      <c r="H111" s="62" t="str">
        <f t="shared" si="89"/>
        <v>-4.14602287696637E-06+0.000035888354135307i</v>
      </c>
      <c r="I111" s="62" t="str">
        <f t="shared" si="90"/>
        <v>-0.000248685124593744+0.00215331910072849i</v>
      </c>
      <c r="J111" s="89" t="str">
        <f t="shared" si="91"/>
        <v>-0.625013888384615+5.41188117414658i</v>
      </c>
      <c r="K111" s="89" t="str">
        <f t="shared" si="92"/>
        <v>-0.0000711402150570802-1.98225641220291i</v>
      </c>
      <c r="L111" s="89" t="str">
        <f t="shared" si="93"/>
        <v>1.00000414475208-0.0000358886516788082i</v>
      </c>
      <c r="M111" s="63">
        <f t="shared" si="75"/>
        <v>-180.52059991327965</v>
      </c>
      <c r="N111" s="63">
        <f t="shared" si="94"/>
        <v>-149.51029995663981</v>
      </c>
      <c r="O111" s="63" t="str">
        <f t="shared" si="95"/>
        <v>5.26362612675674E-21</v>
      </c>
      <c r="P111" s="63">
        <f t="shared" si="76"/>
        <v>-202.7871496606069</v>
      </c>
      <c r="Q111" s="63" t="str">
        <f t="shared" si="96"/>
        <v>3.28448708921564E-23</v>
      </c>
      <c r="R111" s="63">
        <f t="shared" si="77"/>
        <v>-224.83532440933817</v>
      </c>
      <c r="S111" s="63" t="str">
        <f t="shared" si="97"/>
        <v>9.35166462901677E-23</v>
      </c>
      <c r="T111" s="63">
        <f t="shared" si="78"/>
        <v>-220.29111076309331</v>
      </c>
      <c r="U111" s="63" t="str">
        <f t="shared" si="98"/>
        <v>1.03861718772798E-19</v>
      </c>
      <c r="V111" s="63">
        <f t="shared" si="79"/>
        <v>-189.83544494687573</v>
      </c>
      <c r="W111" s="63">
        <f t="shared" si="99"/>
        <v>109.08983404943042</v>
      </c>
      <c r="X111" s="63" t="str">
        <f t="shared" si="100"/>
        <v>3.18462096345128-51.002869077358i</v>
      </c>
      <c r="Y111" s="90" t="str">
        <f t="shared" si="101"/>
        <v>1.02919264651194E-10-4.67530907181028E-11i</v>
      </c>
      <c r="Z111" s="90" t="str">
        <f t="shared" si="102"/>
        <v>3.18462096345128E-13-5.1002869077358E-12i</v>
      </c>
      <c r="AA111" s="90" t="str">
        <f t="shared" si="103"/>
        <v>5.1459632325597E-11-2.33765453590514E-11i</v>
      </c>
      <c r="AB111" s="90" t="str">
        <f t="shared" si="80"/>
        <v>3.1432557870524E-20+1.83670992315982E-40i</v>
      </c>
      <c r="AC111" s="90">
        <f t="shared" si="81"/>
        <v>-195.02620276193571</v>
      </c>
      <c r="AD111" s="90" t="str">
        <f t="shared" si="104"/>
        <v>5.01191388875061E-18</v>
      </c>
      <c r="AE111" s="63">
        <f t="shared" si="82"/>
        <v>-172.99996399362186</v>
      </c>
      <c r="AF111" s="63" t="str">
        <f t="shared" si="83"/>
        <v>4.96990416231792E-16</v>
      </c>
      <c r="AG111" s="63">
        <f t="shared" si="84"/>
        <v>-153.03651985950327</v>
      </c>
      <c r="AH111" s="116">
        <v>-175</v>
      </c>
      <c r="AI111" s="63" t="str">
        <f t="shared" si="105"/>
        <v>1.48583645893579E-23</v>
      </c>
      <c r="AJ111" s="63">
        <f t="shared" si="85"/>
        <v>-228.28028989290348</v>
      </c>
      <c r="AK111" s="63">
        <f t="shared" si="86"/>
        <v>-152.99172561811898</v>
      </c>
      <c r="AL111" s="49">
        <f t="shared" si="106"/>
        <v>8.654718711272755E-10</v>
      </c>
    </row>
    <row r="112" spans="1:38" x14ac:dyDescent="0.25">
      <c r="E112" s="68">
        <v>15848.931924611201</v>
      </c>
      <c r="F112" s="61" t="str">
        <f t="shared" si="74"/>
        <v>99581776.2032066i</v>
      </c>
      <c r="G112" s="83" t="str">
        <f t="shared" si="88"/>
        <v>-2.17317736648233-0.223608216410391i</v>
      </c>
      <c r="H112" s="62" t="str">
        <f t="shared" si="89"/>
        <v>-2.61971881226988E-06+0.0000254602166269428i</v>
      </c>
      <c r="I112" s="62" t="str">
        <f t="shared" si="90"/>
        <v>-0.000157144646849384+0.00152762100049079i</v>
      </c>
      <c r="J112" s="89" t="str">
        <f t="shared" si="91"/>
        <v>-0.39494757447439+3.83933033008909i</v>
      </c>
      <c r="K112" s="89" t="str">
        <f t="shared" si="92"/>
        <v>-0.0000449803055259525-1.76668519161775i</v>
      </c>
      <c r="L112" s="89" t="str">
        <f t="shared" si="93"/>
        <v>1.00000261907745-0.0000254603500081798i</v>
      </c>
      <c r="M112" s="63">
        <f t="shared" si="75"/>
        <v>-181.02059991327963</v>
      </c>
      <c r="N112" s="63">
        <f t="shared" si="94"/>
        <v>-149.51029995663981</v>
      </c>
      <c r="O112" s="63" t="str">
        <f t="shared" si="95"/>
        <v>2.64167523798647E-21</v>
      </c>
      <c r="P112" s="63">
        <f t="shared" si="76"/>
        <v>-205.78120574692639</v>
      </c>
      <c r="Q112" s="63" t="str">
        <f t="shared" si="96"/>
        <v>1.64853946736052E-23-3.67341984631965E-40i</v>
      </c>
      <c r="R112" s="63">
        <f t="shared" si="77"/>
        <v>-227.82900651037232</v>
      </c>
      <c r="S112" s="63" t="str">
        <f t="shared" si="97"/>
        <v>4.69375820567927E-23+7.3468396926393E-40i</v>
      </c>
      <c r="T112" s="63">
        <f t="shared" si="78"/>
        <v>-223.28479286412744</v>
      </c>
      <c r="U112" s="63" t="str">
        <f t="shared" si="98"/>
        <v>6.55917250839828E-20</v>
      </c>
      <c r="V112" s="63">
        <f t="shared" si="79"/>
        <v>-191.83150946859783</v>
      </c>
      <c r="W112" s="63">
        <f t="shared" si="99"/>
        <v>109.08983404943042</v>
      </c>
      <c r="X112" s="63" t="str">
        <f t="shared" si="100"/>
        <v>2.53193541187271-45.4951088936106i</v>
      </c>
      <c r="Y112" s="90" t="str">
        <f t="shared" si="101"/>
        <v>1.02320963666262E-10-4.17042607957365E-11i</v>
      </c>
      <c r="Z112" s="90" t="str">
        <f t="shared" si="102"/>
        <v>2.53193541187271E-13-4.54951088936106E-12i</v>
      </c>
      <c r="AA112" s="90" t="str">
        <f t="shared" si="103"/>
        <v>5.1160481833131E-11-2.08521303978682E-11i</v>
      </c>
      <c r="AB112" s="90" t="str">
        <f t="shared" si="80"/>
        <v>2.38485877002088E-20+9.18354961579912E-41i</v>
      </c>
      <c r="AC112" s="90">
        <f t="shared" si="81"/>
        <v>-196.22537334534431</v>
      </c>
      <c r="AD112" s="90" t="str">
        <f t="shared" si="104"/>
        <v>3.98109256161312E-18</v>
      </c>
      <c r="AE112" s="63">
        <f t="shared" si="82"/>
        <v>-173.99997724819698</v>
      </c>
      <c r="AF112" s="63" t="str">
        <f t="shared" si="83"/>
        <v>3.42057301928283E-16</v>
      </c>
      <c r="AG112" s="63">
        <f t="shared" si="84"/>
        <v>-154.65901134216739</v>
      </c>
      <c r="AH112" s="116">
        <v>-175</v>
      </c>
      <c r="AI112" s="63" t="str">
        <f t="shared" si="105"/>
        <v>7.45766379366042E-24</v>
      </c>
      <c r="AJ112" s="63">
        <f t="shared" si="85"/>
        <v>-231.27397199393761</v>
      </c>
      <c r="AK112" s="63">
        <f t="shared" si="86"/>
        <v>-154.60760070847942</v>
      </c>
      <c r="AL112" s="49">
        <f t="shared" si="106"/>
        <v>6.6936877341808755E-10</v>
      </c>
    </row>
    <row r="113" spans="5:38" x14ac:dyDescent="0.25">
      <c r="E113" s="68">
        <v>17782.794100389299</v>
      </c>
      <c r="F113" s="61" t="str">
        <f t="shared" si="74"/>
        <v>111732590.612166i</v>
      </c>
      <c r="G113" s="83" t="str">
        <f t="shared" si="88"/>
        <v>-1.72908789393236-0.15848309443459i</v>
      </c>
      <c r="H113" s="62" t="str">
        <f t="shared" si="89"/>
        <v>-1.65481658031913E-06+0.0000180544387142143i</v>
      </c>
      <c r="I113" s="62" t="str">
        <f t="shared" si="90"/>
        <v>-0.0000992696012619698+0.0010832699077228i</v>
      </c>
      <c r="J113" s="89" t="str">
        <f t="shared" si="91"/>
        <v>-0.249491720039514+2.72255422716546i</v>
      </c>
      <c r="K113" s="89" t="str">
        <f t="shared" si="92"/>
        <v>-0.0000284278136542241-1.57455831562493i</v>
      </c>
      <c r="L113" s="89" t="str">
        <f t="shared" si="93"/>
        <v>1.00000165449335-0.0000180544984620466i</v>
      </c>
      <c r="M113" s="63">
        <f t="shared" si="75"/>
        <v>-181.52059991327963</v>
      </c>
      <c r="N113" s="63">
        <f t="shared" si="94"/>
        <v>-149.51029995663981</v>
      </c>
      <c r="O113" s="63" t="str">
        <f t="shared" si="95"/>
        <v>1.32540463591675E-21</v>
      </c>
      <c r="P113" s="63">
        <f t="shared" si="76"/>
        <v>-208.77651514694412</v>
      </c>
      <c r="Q113" s="63" t="str">
        <f t="shared" si="96"/>
        <v>8.27183271963543E-24</v>
      </c>
      <c r="R113" s="63">
        <f t="shared" si="77"/>
        <v>-230.82398256850936</v>
      </c>
      <c r="S113" s="63" t="str">
        <f t="shared" si="97"/>
        <v>2.35517459378509E-23</v>
      </c>
      <c r="T113" s="63">
        <f t="shared" si="78"/>
        <v>-226.27976892226451</v>
      </c>
      <c r="U113" s="63" t="str">
        <f t="shared" si="98"/>
        <v>4.14154257477883E-20</v>
      </c>
      <c r="V113" s="63">
        <f t="shared" si="79"/>
        <v>-193.82837869764074</v>
      </c>
      <c r="W113" s="63">
        <f t="shared" si="99"/>
        <v>109.08983404943042</v>
      </c>
      <c r="X113" s="63" t="str">
        <f t="shared" si="100"/>
        <v>2.01264203065322-40.5750390122325i</v>
      </c>
      <c r="Y113" s="90" t="str">
        <f t="shared" si="101"/>
        <v>1.0184494004248E-10-3.71941522927308E-11i</v>
      </c>
      <c r="Z113" s="90" t="str">
        <f t="shared" si="102"/>
        <v>2.01264203065322E-13-4.05750390122325E-12i</v>
      </c>
      <c r="AA113" s="90" t="str">
        <f t="shared" si="103"/>
        <v>5.092247002124E-11-1.85970761463654E-11i</v>
      </c>
      <c r="AB113" s="90" t="str">
        <f t="shared" si="80"/>
        <v>1.82363145554549E-20</v>
      </c>
      <c r="AC113" s="90">
        <f t="shared" si="81"/>
        <v>-197.39062925325078</v>
      </c>
      <c r="AD113" s="90" t="str">
        <f t="shared" si="104"/>
        <v>3.16228812514251E-18</v>
      </c>
      <c r="AE113" s="63">
        <f t="shared" si="82"/>
        <v>-174.99998562784967</v>
      </c>
      <c r="AF113" s="63" t="str">
        <f t="shared" si="83"/>
        <v>2.25963791510312E-16</v>
      </c>
      <c r="AG113" s="63">
        <f t="shared" si="84"/>
        <v>-156.45961146724736</v>
      </c>
      <c r="AH113" s="116">
        <v>-175</v>
      </c>
      <c r="AI113" s="63" t="str">
        <f t="shared" si="105"/>
        <v>3.74201216299729E-24-4.59177480789956E-41i</v>
      </c>
      <c r="AJ113" s="63">
        <f t="shared" si="85"/>
        <v>-234.26894805207462</v>
      </c>
      <c r="AK113" s="63">
        <f t="shared" si="86"/>
        <v>-156.39809845172212</v>
      </c>
      <c r="AL113" s="49">
        <f t="shared" si="106"/>
        <v>4.9729681069682572E-10</v>
      </c>
    </row>
    <row r="114" spans="5:38" x14ac:dyDescent="0.25">
      <c r="E114" s="68">
        <v>19952.623149688901</v>
      </c>
      <c r="F114" s="61" t="str">
        <f t="shared" si="74"/>
        <v>125366028.613817i</v>
      </c>
      <c r="G114" s="83" t="str">
        <f t="shared" si="88"/>
        <v>-1.37527840819556-0.11229915552919i</v>
      </c>
      <c r="H114" s="62" t="str">
        <f t="shared" si="89"/>
        <v>-1.04506526129425E-06+0.0000127984550038727i</v>
      </c>
      <c r="I114" s="62" t="str">
        <f t="shared" si="90"/>
        <v>-0.0000626941531495674+0.000767908905135581i</v>
      </c>
      <c r="J114" s="89" t="str">
        <f t="shared" si="91"/>
        <v>-0.157567592766172+1.9299655800001i</v>
      </c>
      <c r="K114" s="89" t="str">
        <f t="shared" si="92"/>
        <v>-0.0000179604198593235-1.40332572049344i</v>
      </c>
      <c r="L114" s="89" t="str">
        <f t="shared" si="93"/>
        <v>1.00000104490255-0.0000127984817522597i</v>
      </c>
      <c r="M114" s="63">
        <f t="shared" si="75"/>
        <v>-182.02059991327965</v>
      </c>
      <c r="N114" s="63">
        <f t="shared" si="94"/>
        <v>-149.51029995663981</v>
      </c>
      <c r="O114" s="63" t="str">
        <f t="shared" si="95"/>
        <v>6.64841598342464E-22</v>
      </c>
      <c r="P114" s="63">
        <f t="shared" si="76"/>
        <v>-211.77281815088276</v>
      </c>
      <c r="Q114" s="63" t="str">
        <f t="shared" si="96"/>
        <v>4.14955145281127E-24</v>
      </c>
      <c r="R114" s="63">
        <f t="shared" si="77"/>
        <v>-233.81998845961914</v>
      </c>
      <c r="S114" s="63" t="str">
        <f t="shared" si="97"/>
        <v>1.18146951086988E-23</v>
      </c>
      <c r="T114" s="63">
        <f t="shared" si="78"/>
        <v>-229.27577481337426</v>
      </c>
      <c r="U114" s="63" t="str">
        <f t="shared" si="98"/>
        <v>2.61463526278719E-20</v>
      </c>
      <c r="V114" s="63">
        <f t="shared" si="79"/>
        <v>-195.82588885919787</v>
      </c>
      <c r="W114" s="63">
        <f t="shared" si="99"/>
        <v>109.08983404943042</v>
      </c>
      <c r="X114" s="63" t="str">
        <f t="shared" si="100"/>
        <v>1.59961714876115-36.1820215658587i</v>
      </c>
      <c r="Y114" s="90" t="str">
        <f t="shared" si="101"/>
        <v>1.01466330169717E-10-3.31671799495671E-11i</v>
      </c>
      <c r="Z114" s="90" t="str">
        <f t="shared" si="102"/>
        <v>1.59961714876115E-13-3.61820215658587E-12i</v>
      </c>
      <c r="AA114" s="90" t="str">
        <f t="shared" si="103"/>
        <v>5.07331650848585E-11-1.65835899747836E-11i</v>
      </c>
      <c r="AB114" s="90" t="str">
        <f t="shared" si="80"/>
        <v>1.40387768928609E-20</v>
      </c>
      <c r="AC114" s="90">
        <f t="shared" si="81"/>
        <v>-198.52670727805935</v>
      </c>
      <c r="AD114" s="90" t="str">
        <f t="shared" si="104"/>
        <v>2.51189168127681E-18-5.87747175411144E-39i</v>
      </c>
      <c r="AE114" s="63">
        <f t="shared" si="82"/>
        <v>-175.99999092338521</v>
      </c>
      <c r="AF114" s="63" t="str">
        <f t="shared" si="83"/>
        <v>1.41470907795738E-16</v>
      </c>
      <c r="AG114" s="63">
        <f t="shared" si="84"/>
        <v>-158.49332859664651</v>
      </c>
      <c r="AH114" s="116">
        <v>-175</v>
      </c>
      <c r="AI114" s="63" t="str">
        <f t="shared" si="105"/>
        <v>1.8771743256538E-24+2.29588740394978E-41i</v>
      </c>
      <c r="AJ114" s="63">
        <f t="shared" si="85"/>
        <v>-237.26495394318445</v>
      </c>
      <c r="AK114" s="63">
        <f t="shared" si="86"/>
        <v>-158.41566134788957</v>
      </c>
      <c r="AL114" s="49">
        <f t="shared" si="106"/>
        <v>3.5063832608794767E-10</v>
      </c>
    </row>
    <row r="115" spans="5:38" x14ac:dyDescent="0.25">
      <c r="E115" s="68">
        <v>22387.211385683499</v>
      </c>
      <c r="F115" s="61" t="str">
        <f t="shared" si="74"/>
        <v>140662997.64725i</v>
      </c>
      <c r="G115" s="83" t="str">
        <f t="shared" si="88"/>
        <v>-1.09356927125674-0.0795589840564125i</v>
      </c>
      <c r="H115" s="62" t="str">
        <f t="shared" si="89"/>
        <v>-6.59866605183897E-07+9.07012389758452E-06i</v>
      </c>
      <c r="I115" s="62" t="str">
        <f t="shared" si="90"/>
        <v>-0.0000395870863978652+0.000544208152019635i</v>
      </c>
      <c r="J115" s="89" t="str">
        <f t="shared" si="91"/>
        <v>-0.0994931998436461+1.36774426592684i</v>
      </c>
      <c r="K115" s="89" t="str">
        <f t="shared" si="92"/>
        <v>-0.0000113441464370251-1.25071488322478i</v>
      </c>
      <c r="L115" s="89" t="str">
        <f t="shared" si="93"/>
        <v>1.00000065978477-9.07013586699392E-06i</v>
      </c>
      <c r="M115" s="63">
        <f t="shared" si="75"/>
        <v>-182.52059991327965</v>
      </c>
      <c r="N115" s="63">
        <f t="shared" si="94"/>
        <v>-149.51029995663981</v>
      </c>
      <c r="O115" s="63" t="str">
        <f t="shared" si="95"/>
        <v>3.33433464082213E-22+2.93873587705572E-39i</v>
      </c>
      <c r="P115" s="63">
        <f t="shared" si="76"/>
        <v>-214.76990815615008</v>
      </c>
      <c r="Q115" s="63" t="str">
        <f t="shared" si="96"/>
        <v>2.0812230896619E-24</v>
      </c>
      <c r="R115" s="63">
        <f t="shared" si="77"/>
        <v>-236.81681364566737</v>
      </c>
      <c r="S115" s="63" t="str">
        <f t="shared" si="97"/>
        <v>5.92570463028737E-24</v>
      </c>
      <c r="T115" s="63">
        <f t="shared" si="78"/>
        <v>-232.27259999942248</v>
      </c>
      <c r="U115" s="63" t="str">
        <f t="shared" si="98"/>
        <v>1.65047548223437E-20</v>
      </c>
      <c r="V115" s="63">
        <f t="shared" si="79"/>
        <v>-197.82390922717741</v>
      </c>
      <c r="W115" s="63">
        <f t="shared" si="99"/>
        <v>109.08983404943042</v>
      </c>
      <c r="X115" s="63" t="str">
        <f t="shared" si="100"/>
        <v>1.27120136079947-32.2610656621727i</v>
      </c>
      <c r="Y115" s="90" t="str">
        <f t="shared" si="101"/>
        <v>1.01165279397367E-10-2.95729349515324E-11i</v>
      </c>
      <c r="Z115" s="90" t="str">
        <f t="shared" si="102"/>
        <v>1.27120136079947E-13-3.22610656621727E-12i</v>
      </c>
      <c r="AA115" s="90" t="str">
        <f t="shared" si="103"/>
        <v>5.05826396986835E-11-1.47864674757662E-11i</v>
      </c>
      <c r="AB115" s="90" t="str">
        <f t="shared" si="80"/>
        <v>1.08691710350242E-20+1.14794370197489E-41i</v>
      </c>
      <c r="AC115" s="90">
        <f t="shared" si="81"/>
        <v>-199.63803577224013</v>
      </c>
      <c r="AD115" s="90" t="str">
        <f t="shared" si="104"/>
        <v>1.99526494802125E-18</v>
      </c>
      <c r="AE115" s="63">
        <f t="shared" si="82"/>
        <v>-176.99999426882695</v>
      </c>
      <c r="AF115" s="63" t="str">
        <f t="shared" si="83"/>
        <v>8.2477057835789E-17</v>
      </c>
      <c r="AG115" s="63">
        <f t="shared" si="84"/>
        <v>-160.83666839825315</v>
      </c>
      <c r="AH115" s="116">
        <v>-175</v>
      </c>
      <c r="AI115" s="63" t="str">
        <f t="shared" si="105"/>
        <v>9.41503821388803E-25</v>
      </c>
      <c r="AJ115" s="63">
        <f t="shared" si="85"/>
        <v>-240.26177912923256</v>
      </c>
      <c r="AK115" s="63">
        <f t="shared" si="86"/>
        <v>-160.73143090136148</v>
      </c>
      <c r="AL115" s="49">
        <f t="shared" si="106"/>
        <v>2.3082477931993202E-10</v>
      </c>
    </row>
    <row r="116" spans="5:38" x14ac:dyDescent="0.25">
      <c r="E116" s="68">
        <v>25118.8643150959</v>
      </c>
      <c r="F116" s="61" t="str">
        <f t="shared" si="74"/>
        <v>157826479.197648i</v>
      </c>
      <c r="G116" s="83" t="str">
        <f t="shared" si="88"/>
        <v>-0.869377317861202-0.0563556844519355i</v>
      </c>
      <c r="H116" s="62" t="str">
        <f t="shared" si="89"/>
        <v>-4.16585980131513E-07+6.42651057453133E-06i</v>
      </c>
      <c r="I116" s="62" t="str">
        <f t="shared" si="90"/>
        <v>-0.0000249926912151412+0.000385590955719461i</v>
      </c>
      <c r="J116" s="89" t="str">
        <f t="shared" si="91"/>
        <v>-0.0628134840919406+0.969095771023143i</v>
      </c>
      <c r="K116" s="89" t="str">
        <f t="shared" si="92"/>
        <v>-7.16363780404967E-06-1.11470054187237i</v>
      </c>
      <c r="L116" s="89" t="str">
        <f t="shared" si="93"/>
        <v>1.00000041654485-6.42651592865767E-06i</v>
      </c>
      <c r="M116" s="63">
        <f t="shared" si="75"/>
        <v>-183.02059991327965</v>
      </c>
      <c r="N116" s="63">
        <f t="shared" si="94"/>
        <v>-149.51029995663981</v>
      </c>
      <c r="O116" s="63" t="str">
        <f t="shared" si="95"/>
        <v>1.67200627570621E-22</v>
      </c>
      <c r="P116" s="63">
        <f t="shared" si="76"/>
        <v>-217.76762096813593</v>
      </c>
      <c r="Q116" s="63" t="str">
        <f t="shared" si="96"/>
        <v>1.0436886428999E-24</v>
      </c>
      <c r="R116" s="63">
        <f t="shared" si="77"/>
        <v>-239.81429042366551</v>
      </c>
      <c r="S116" s="63" t="str">
        <f t="shared" si="97"/>
        <v>2.97161349714556E-24</v>
      </c>
      <c r="T116" s="63">
        <f t="shared" si="78"/>
        <v>-235.27007677742063</v>
      </c>
      <c r="U116" s="63" t="str">
        <f t="shared" si="98"/>
        <v>1.04175704004092E-20</v>
      </c>
      <c r="V116" s="63">
        <f t="shared" si="79"/>
        <v>-199.82233555962509</v>
      </c>
      <c r="W116" s="63">
        <f t="shared" si="99"/>
        <v>109.08983404943042</v>
      </c>
      <c r="X116" s="63" t="str">
        <f t="shared" si="100"/>
        <v>1.01011757431391-28.762486238531i</v>
      </c>
      <c r="Y116" s="90" t="str">
        <f t="shared" si="101"/>
        <v>1.00925950234608E-10-2.6365872209044E-11i</v>
      </c>
      <c r="Z116" s="90" t="str">
        <f t="shared" si="102"/>
        <v>1.01011757431391E-13-2.8762486238531E-12i</v>
      </c>
      <c r="AA116" s="90" t="str">
        <f t="shared" si="103"/>
        <v>5.0462975117304E-11-1.3182936104522E-11i</v>
      </c>
      <c r="AB116" s="90" t="str">
        <f t="shared" si="80"/>
        <v>8.45547276493676E-21</v>
      </c>
      <c r="AC116" s="90">
        <f t="shared" si="81"/>
        <v>-200.72862104983656</v>
      </c>
      <c r="AD116" s="90" t="str">
        <f t="shared" si="104"/>
        <v>1.58489451288502E-18+1.46936793852786E-39i</v>
      </c>
      <c r="AE116" s="63">
        <f t="shared" si="82"/>
        <v>-177.99999638175882</v>
      </c>
      <c r="AF116" s="63" t="str">
        <f t="shared" si="83"/>
        <v>4.36568029885992E-17+3.85185988877447E-34i</v>
      </c>
      <c r="AG116" s="63">
        <f t="shared" si="84"/>
        <v>-163.59948071083292</v>
      </c>
      <c r="AH116" s="116">
        <v>-175</v>
      </c>
      <c r="AI116" s="63" t="str">
        <f t="shared" si="105"/>
        <v>4.72143928496375E-25</v>
      </c>
      <c r="AJ116" s="63">
        <f t="shared" si="85"/>
        <v>-243.25925590723079</v>
      </c>
      <c r="AK116" s="63">
        <f t="shared" si="86"/>
        <v>-163.44278328310304</v>
      </c>
      <c r="AL116" s="49">
        <f t="shared" si="106"/>
        <v>1.3872259070637036E-10</v>
      </c>
    </row>
    <row r="117" spans="5:38" x14ac:dyDescent="0.25">
      <c r="E117" s="68">
        <v>28183.829312644601</v>
      </c>
      <c r="F117" s="61" t="str">
        <f t="shared" si="74"/>
        <v>177084222.237266i</v>
      </c>
      <c r="G117" s="83" t="str">
        <f t="shared" si="88"/>
        <v>-0.691028390891573-0.0399149116154671i</v>
      </c>
      <c r="H117" s="62" t="str">
        <f t="shared" si="89"/>
        <v>-2.62967509450495E-07+4.55263478128117E-06i</v>
      </c>
      <c r="I117" s="62" t="str">
        <f t="shared" si="90"/>
        <v>-0.0000157768111261573+0.000273158230534669i</v>
      </c>
      <c r="J117" s="89" t="str">
        <f t="shared" si="91"/>
        <v>-0.0396514511448075+0.686521512252244i</v>
      </c>
      <c r="K117" s="89" t="str">
        <f t="shared" si="92"/>
        <v>-4.52294255340908E-06-0.993477751085786i</v>
      </c>
      <c r="L117" s="89" t="str">
        <f t="shared" si="93"/>
        <v>1.00000026294685-4.55263717557781E-06i</v>
      </c>
      <c r="M117" s="63">
        <f t="shared" si="75"/>
        <v>-183.52059991327963</v>
      </c>
      <c r="N117" s="63">
        <f t="shared" si="94"/>
        <v>-149.51029995663981</v>
      </c>
      <c r="O117" s="63" t="str">
        <f t="shared" si="95"/>
        <v>8.38334577521901E-23</v>
      </c>
      <c r="P117" s="63">
        <f t="shared" si="76"/>
        <v>-220.76582620782392</v>
      </c>
      <c r="Q117" s="63" t="str">
        <f t="shared" si="96"/>
        <v>5.23324986961717E-25-5.73971850987445E-42i</v>
      </c>
      <c r="R117" s="63">
        <f t="shared" si="77"/>
        <v>-242.81228528702866</v>
      </c>
      <c r="S117" s="63" t="str">
        <f t="shared" si="97"/>
        <v>1.49002253232155E-24</v>
      </c>
      <c r="T117" s="63">
        <f t="shared" si="78"/>
        <v>-238.26807164078383</v>
      </c>
      <c r="U117" s="63" t="str">
        <f t="shared" si="98"/>
        <v>6.57493585281836E-21</v>
      </c>
      <c r="V117" s="63">
        <f t="shared" si="79"/>
        <v>-201.82108479933706</v>
      </c>
      <c r="W117" s="63">
        <f t="shared" si="99"/>
        <v>109.08983404943042</v>
      </c>
      <c r="X117" s="63" t="str">
        <f t="shared" si="100"/>
        <v>0.802596269167226-25.6415219141612i</v>
      </c>
      <c r="Y117" s="90" t="str">
        <f t="shared" si="101"/>
        <v>1.00735720496929E-10-2.35049600520454E-11i</v>
      </c>
      <c r="Z117" s="90" t="str">
        <f t="shared" si="102"/>
        <v>8.02596269167226E-14-2.56415219141612E-12i</v>
      </c>
      <c r="AA117" s="90" t="str">
        <f t="shared" si="103"/>
        <v>5.03678602484645E-11-1.17524800260227E-11i</v>
      </c>
      <c r="AB117" s="90" t="str">
        <f t="shared" si="80"/>
        <v>6.60390124178902E-21</v>
      </c>
      <c r="AC117" s="90">
        <f t="shared" si="81"/>
        <v>-201.80199430028682</v>
      </c>
      <c r="AD117" s="90" t="str">
        <f t="shared" si="104"/>
        <v>1.25892607388128E-18</v>
      </c>
      <c r="AE117" s="63">
        <f t="shared" si="82"/>
        <v>-178.999997715983</v>
      </c>
      <c r="AF117" s="63" t="str">
        <f t="shared" si="83"/>
        <v>2.01979384353612E-17</v>
      </c>
      <c r="AG117" s="63">
        <f t="shared" si="84"/>
        <v>-166.94692955891855</v>
      </c>
      <c r="AH117" s="116">
        <v>-175</v>
      </c>
      <c r="AI117" s="63" t="str">
        <f t="shared" si="105"/>
        <v>2.36741787797835E-25</v>
      </c>
      <c r="AJ117" s="63">
        <f t="shared" si="85"/>
        <v>-246.25725077059397</v>
      </c>
      <c r="AK117" s="63">
        <f t="shared" si="86"/>
        <v>-166.68165337468037</v>
      </c>
      <c r="AL117" s="49">
        <f t="shared" si="106"/>
        <v>7.3834643398222509E-11</v>
      </c>
    </row>
    <row r="118" spans="5:38" x14ac:dyDescent="0.25">
      <c r="E118" s="68">
        <v>31622.776601683901</v>
      </c>
      <c r="F118" s="61" t="str">
        <f t="shared" si="74"/>
        <v>198691765.315923i</v>
      </c>
      <c r="G118" s="83" t="str">
        <f t="shared" si="88"/>
        <v>-0.549192185453899-0.028267801945093i</v>
      </c>
      <c r="H118" s="62" t="str">
        <f t="shared" si="89"/>
        <v>-1.65981223312591E-07+3.22471449858085E-06i</v>
      </c>
      <c r="I118" s="62" t="str">
        <f t="shared" si="90"/>
        <v>-9.95825112441521E-06+0.000193482934141902i</v>
      </c>
      <c r="J118" s="89" t="str">
        <f t="shared" si="91"/>
        <v>-0.0250278148600521+0.486275651596159i</v>
      </c>
      <c r="K118" s="89" t="str">
        <f t="shared" si="92"/>
        <v>-2.85528488121689E-06-0.885437891803999i</v>
      </c>
      <c r="L118" s="89" t="str">
        <f t="shared" si="93"/>
        <v>1.00000016597085-0.0000032247155690317i</v>
      </c>
      <c r="M118" s="63">
        <f t="shared" si="75"/>
        <v>-184.02059991327963</v>
      </c>
      <c r="N118" s="63">
        <f t="shared" si="94"/>
        <v>-149.51029995663981</v>
      </c>
      <c r="O118" s="63" t="str">
        <f t="shared" si="95"/>
        <v>4.20298613331308E-23</v>
      </c>
      <c r="P118" s="63">
        <f t="shared" si="76"/>
        <v>-223.76442042836712</v>
      </c>
      <c r="Q118" s="63" t="str">
        <f t="shared" si="96"/>
        <v>2.62380043609478E-25-2.86985925493723E-42i</v>
      </c>
      <c r="R118" s="63">
        <f t="shared" si="77"/>
        <v>-245.81069200088581</v>
      </c>
      <c r="S118" s="63" t="str">
        <f t="shared" si="97"/>
        <v>7.47054290832542E-25-5.73971850987445E-42i</v>
      </c>
      <c r="T118" s="63">
        <f t="shared" si="78"/>
        <v>-241.26647835464095</v>
      </c>
      <c r="U118" s="63" t="str">
        <f t="shared" si="98"/>
        <v>4.14945366094621E-21</v>
      </c>
      <c r="V118" s="63">
        <f t="shared" si="79"/>
        <v>-203.82009081036307</v>
      </c>
      <c r="W118" s="63">
        <f t="shared" si="99"/>
        <v>109.08983404943042</v>
      </c>
      <c r="X118" s="63" t="str">
        <f t="shared" si="100"/>
        <v>0.637670931203393-22.8579384063709i</v>
      </c>
      <c r="Y118" s="90" t="str">
        <f t="shared" si="101"/>
        <v>1.00584537447288E-10-2.09533166912818E-11i</v>
      </c>
      <c r="Z118" s="90" t="str">
        <f t="shared" si="102"/>
        <v>6.37670931203393E-14-2.28579384063709E-12i</v>
      </c>
      <c r="AA118" s="90" t="str">
        <f t="shared" si="103"/>
        <v>5.0292268723644E-11-1.04766583456409E-11i</v>
      </c>
      <c r="AB118" s="90" t="str">
        <f t="shared" si="80"/>
        <v>5.17463387464847E-21</v>
      </c>
      <c r="AC118" s="90">
        <f t="shared" si="81"/>
        <v>-202.86120372797592</v>
      </c>
      <c r="AD118" s="90" t="str">
        <f t="shared" si="104"/>
        <v>1.00000033195211E-18</v>
      </c>
      <c r="AE118" s="63">
        <f t="shared" si="82"/>
        <v>-179.99999855835054</v>
      </c>
      <c r="AF118" s="63" t="str">
        <f t="shared" si="83"/>
        <v>7.6825585081568E-18</v>
      </c>
      <c r="AG118" s="63">
        <f t="shared" si="84"/>
        <v>-171.1449412359708</v>
      </c>
      <c r="AH118" s="116">
        <v>-175</v>
      </c>
      <c r="AI118" s="63" t="str">
        <f t="shared" si="105"/>
        <v>1.18695499267505E-25+7.17464813734306E-43i</v>
      </c>
      <c r="AJ118" s="63">
        <f t="shared" si="85"/>
        <v>-249.25565748445112</v>
      </c>
      <c r="AK118" s="63">
        <f t="shared" si="86"/>
        <v>-170.60883975487394</v>
      </c>
      <c r="AL118" s="49">
        <f t="shared" si="106"/>
        <v>3.3538338496807195E-11</v>
      </c>
    </row>
    <row r="119" spans="5:38" x14ac:dyDescent="0.25">
      <c r="E119" s="68">
        <v>35481.338923357704</v>
      </c>
      <c r="F119" s="61" t="str">
        <f t="shared" si="74"/>
        <v>222935827.4023i</v>
      </c>
      <c r="G119" s="83" t="str">
        <f t="shared" si="88"/>
        <v>-0.436421193869429-0.0200178147267399i</v>
      </c>
      <c r="H119" s="62" t="str">
        <f t="shared" si="89"/>
        <v>-1.04757128781516E-07+0.0000022838772280219i</v>
      </c>
      <c r="I119" s="62" t="str">
        <f t="shared" si="90"/>
        <v>-6.28511541952446E-06+0.000137032662390894i</v>
      </c>
      <c r="J119" s="89" t="str">
        <f t="shared" si="91"/>
        <v>-0.0157962179431536+0.344400644375267i</v>
      </c>
      <c r="K119" s="89" t="str">
        <f t="shared" si="92"/>
        <v>-1.80231574463836E-06-0.789147303418735i</v>
      </c>
      <c r="L119" s="89" t="str">
        <f t="shared" si="93"/>
        <v>1.00000010475192-2.28387770651491E-06i</v>
      </c>
      <c r="M119" s="63">
        <f t="shared" si="75"/>
        <v>-184.52059991327963</v>
      </c>
      <c r="N119" s="63">
        <f t="shared" si="94"/>
        <v>-149.51029995663981</v>
      </c>
      <c r="O119" s="63" t="str">
        <f t="shared" si="95"/>
        <v>2.10701602585104E-23-1.83670992315982E-40i</v>
      </c>
      <c r="P119" s="63">
        <f t="shared" si="76"/>
        <v>-226.76332161158768</v>
      </c>
      <c r="Q119" s="63" t="str">
        <f t="shared" si="96"/>
        <v>1.3153986561113E-25</v>
      </c>
      <c r="R119" s="63">
        <f t="shared" si="77"/>
        <v>-248.80942606177345</v>
      </c>
      <c r="S119" s="63" t="str">
        <f t="shared" si="97"/>
        <v>3.74523228476134E-25</v>
      </c>
      <c r="T119" s="63">
        <f t="shared" si="78"/>
        <v>-244.26521241552859</v>
      </c>
      <c r="U119" s="63" t="str">
        <f t="shared" si="98"/>
        <v>2.6186044664001E-21</v>
      </c>
      <c r="V119" s="63">
        <f t="shared" si="79"/>
        <v>-205.81930095707077</v>
      </c>
      <c r="W119" s="63">
        <f t="shared" si="99"/>
        <v>109.08983404943042</v>
      </c>
      <c r="X119" s="63" t="str">
        <f t="shared" si="100"/>
        <v>0.506612216547139-20.3756350361446i</v>
      </c>
      <c r="Y119" s="90" t="str">
        <f t="shared" si="101"/>
        <v>1.00464399108278E-10-1.8677849511543E-11i</v>
      </c>
      <c r="Z119" s="90" t="str">
        <f t="shared" si="102"/>
        <v>5.06612216547139E-14-2.03756350361446E-12i</v>
      </c>
      <c r="AA119" s="90" t="str">
        <f t="shared" si="103"/>
        <v>5.0232199554139E-11-9.3389247557715E-12i</v>
      </c>
      <c r="AB119" s="90" t="str">
        <f t="shared" si="80"/>
        <v>4.06552181957468E-21</v>
      </c>
      <c r="AC119" s="90">
        <f t="shared" si="81"/>
        <v>-203.90883703743373</v>
      </c>
      <c r="AD119" s="90" t="str">
        <f t="shared" si="104"/>
        <v>7.94328401143239E-19</v>
      </c>
      <c r="AE119" s="63">
        <f t="shared" si="82"/>
        <v>-180.99999909011385</v>
      </c>
      <c r="AF119" s="63" t="str">
        <f t="shared" si="83"/>
        <v>2.1528513778646E-18</v>
      </c>
      <c r="AG119" s="63">
        <f t="shared" si="84"/>
        <v>-176.66985950669408</v>
      </c>
      <c r="AH119" s="116">
        <v>-175</v>
      </c>
      <c r="AI119" s="63" t="str">
        <f t="shared" si="105"/>
        <v>5.9506011995074E-26</v>
      </c>
      <c r="AJ119" s="63">
        <f t="shared" si="85"/>
        <v>-252.25439154533876</v>
      </c>
      <c r="AK119" s="63">
        <f t="shared" si="86"/>
        <v>-175.29606337008192</v>
      </c>
      <c r="AL119" s="49">
        <f t="shared" si="106"/>
        <v>1.2788487465713668E-11</v>
      </c>
    </row>
    <row r="120" spans="5:38" x14ac:dyDescent="0.25">
      <c r="E120" s="68">
        <v>39810.717055349902</v>
      </c>
      <c r="F120" s="61" t="str">
        <f t="shared" si="74"/>
        <v>250138112.470458i</v>
      </c>
      <c r="G120" s="83" t="str">
        <f t="shared" si="88"/>
        <v>-0.346776771732356-0.0141747586221817i</v>
      </c>
      <c r="H120" s="62" t="str">
        <f t="shared" si="89"/>
        <v>-6.61123498103408E-08+1.61739807004499E-06i</v>
      </c>
      <c r="I120" s="62" t="str">
        <f t="shared" si="90"/>
        <v>-3.96658429224889E-06+0.0000970438970340452i</v>
      </c>
      <c r="J120" s="89" t="str">
        <f t="shared" si="91"/>
        <v>-0.00996911365789903+0.243897915198305i</v>
      </c>
      <c r="K120" s="89" t="str">
        <f t="shared" si="92"/>
        <v>-1.13756182502961E-06-0.703328247319523i</v>
      </c>
      <c r="L120" s="89" t="str">
        <f t="shared" si="93"/>
        <v>1.00000006610974-1.61739828390075E-06i</v>
      </c>
      <c r="M120" s="63">
        <f t="shared" si="75"/>
        <v>-185.02059991327965</v>
      </c>
      <c r="N120" s="63">
        <f t="shared" si="94"/>
        <v>-149.51029995663981</v>
      </c>
      <c r="O120" s="63" t="str">
        <f t="shared" si="95"/>
        <v>1.05621789807714E-23</v>
      </c>
      <c r="P120" s="63">
        <f t="shared" si="76"/>
        <v>-229.76246477474035</v>
      </c>
      <c r="Q120" s="63" t="str">
        <f t="shared" si="96"/>
        <v>6.59413710668254E-26+3.58732406867153E-43i</v>
      </c>
      <c r="R120" s="63">
        <f t="shared" si="77"/>
        <v>-251.80842027156982</v>
      </c>
      <c r="S120" s="63" t="str">
        <f t="shared" si="97"/>
        <v>1.87749737065267E-25</v>
      </c>
      <c r="T120" s="63">
        <f t="shared" si="78"/>
        <v>-247.26420662532493</v>
      </c>
      <c r="U120" s="63" t="str">
        <f t="shared" si="98"/>
        <v>1.65246649841243E-21-3.58732406867153E-43i</v>
      </c>
      <c r="V120" s="63">
        <f t="shared" si="79"/>
        <v>-207.818673365032</v>
      </c>
      <c r="W120" s="63">
        <f t="shared" si="99"/>
        <v>109.08983404943042</v>
      </c>
      <c r="X120" s="63" t="str">
        <f t="shared" si="100"/>
        <v>0.402474575518899-18.1622654556266i</v>
      </c>
      <c r="Y120" s="90" t="str">
        <f t="shared" si="101"/>
        <v>1.00368938663282E-10-1.6648907401763E-11i</v>
      </c>
      <c r="Z120" s="90" t="str">
        <f t="shared" si="102"/>
        <v>4.02474575518899E-14-1.81622654556266E-12i</v>
      </c>
      <c r="AA120" s="90" t="str">
        <f t="shared" si="103"/>
        <v>5.0184469331641E-11-8.3244537008815E-12i</v>
      </c>
      <c r="AB120" s="90" t="str">
        <f t="shared" si="80"/>
        <v>3.20106004329592E-21</v>
      </c>
      <c r="AC120" s="90">
        <f t="shared" si="81"/>
        <v>-204.94706179580476</v>
      </c>
      <c r="AD120" s="90" t="str">
        <f t="shared" si="104"/>
        <v>6.30957427906692E-19</v>
      </c>
      <c r="AE120" s="63">
        <f t="shared" si="82"/>
        <v>-181.99999942576679</v>
      </c>
      <c r="AF120" s="63" t="str">
        <f t="shared" si="83"/>
        <v>3.51274610561952E-19</v>
      </c>
      <c r="AG120" s="63">
        <f t="shared" si="84"/>
        <v>-184.54353239024712</v>
      </c>
      <c r="AH120" s="116">
        <v>-175</v>
      </c>
      <c r="AI120" s="63" t="str">
        <f t="shared" si="105"/>
        <v>2.9830561248058E-26-1.79366203433577E-43i</v>
      </c>
      <c r="AJ120" s="63">
        <f t="shared" si="85"/>
        <v>-255.25338575513513</v>
      </c>
      <c r="AK120" s="63">
        <f t="shared" si="86"/>
        <v>-180.05640427274696</v>
      </c>
      <c r="AL120" s="49">
        <f t="shared" si="106"/>
        <v>4.7949611404043049E-12</v>
      </c>
    </row>
    <row r="121" spans="5:38" x14ac:dyDescent="0.25">
      <c r="E121" s="68">
        <v>44668.359215096498</v>
      </c>
      <c r="F121" s="61" t="str">
        <f t="shared" si="74"/>
        <v>280659578.316114i</v>
      </c>
      <c r="G121" s="83" t="str">
        <f t="shared" si="88"/>
        <v>-0.275527226077163-0.0100367781420242i</v>
      </c>
      <c r="H121" s="62" t="str">
        <f t="shared" si="89"/>
        <v>-4.17216279212087E-08+1.14533212211023E-06i</v>
      </c>
      <c r="I121" s="62" t="str">
        <f t="shared" si="90"/>
        <v>-2.50321907256413E-06+0.0000687199330607384i</v>
      </c>
      <c r="J121" s="89" t="str">
        <f t="shared" si="91"/>
        <v>-0.00629127571895465+0.172712029487038i</v>
      </c>
      <c r="K121" s="89" t="str">
        <f t="shared" si="92"/>
        <v>-7.17942244992355E-07-0.626841944951177i</v>
      </c>
      <c r="L121" s="89" t="str">
        <f t="shared" si="93"/>
        <v>1.00000004172032-1.14533221767897E-06i</v>
      </c>
      <c r="M121" s="63">
        <f t="shared" si="75"/>
        <v>-185.52059991327965</v>
      </c>
      <c r="N121" s="63">
        <f t="shared" si="94"/>
        <v>-149.51029995663981</v>
      </c>
      <c r="O121" s="63" t="str">
        <f t="shared" si="95"/>
        <v>5.29444149009452E-24-2.29588740394978E-41i</v>
      </c>
      <c r="P121" s="63">
        <f t="shared" si="76"/>
        <v>-232.76179846805462</v>
      </c>
      <c r="Q121" s="63" t="str">
        <f t="shared" si="96"/>
        <v>3.30550546428718E-26</v>
      </c>
      <c r="R121" s="63">
        <f t="shared" si="77"/>
        <v>-254.80762120575986</v>
      </c>
      <c r="S121" s="63" t="str">
        <f t="shared" si="97"/>
        <v>9.41150861359543E-26+7.17464813734306E-43i</v>
      </c>
      <c r="T121" s="63">
        <f t="shared" si="78"/>
        <v>-250.26340755951497</v>
      </c>
      <c r="U121" s="63" t="str">
        <f t="shared" si="98"/>
        <v>1.04275559039368E-21</v>
      </c>
      <c r="V121" s="63">
        <f t="shared" si="79"/>
        <v>-209.81817473147802</v>
      </c>
      <c r="W121" s="63">
        <f t="shared" si="99"/>
        <v>109.08983404943042</v>
      </c>
      <c r="X121" s="63" t="str">
        <f t="shared" si="100"/>
        <v>0.319733642677152-16.1888792678324i</v>
      </c>
      <c r="Y121" s="90" t="str">
        <f t="shared" si="101"/>
        <v>1.00293092060744E-10-1.48399522365182E-11i</v>
      </c>
      <c r="Z121" s="90" t="str">
        <f t="shared" si="102"/>
        <v>3.19733642677152E-14-1.61888792678324E-12i</v>
      </c>
      <c r="AA121" s="90" t="str">
        <f t="shared" si="103"/>
        <v>5.0146546030372E-11-7.4199761182591E-12i</v>
      </c>
      <c r="AB121" s="90" t="str">
        <f t="shared" si="80"/>
        <v>2.52483249943294E-21</v>
      </c>
      <c r="AC121" s="90">
        <f t="shared" si="81"/>
        <v>-205.97767428232416</v>
      </c>
      <c r="AD121" s="90" t="str">
        <f t="shared" si="104"/>
        <v>5.01187275447306E-19</v>
      </c>
      <c r="AE121" s="63">
        <f t="shared" si="82"/>
        <v>-182.99999963761627</v>
      </c>
      <c r="AF121" s="63" t="str">
        <f t="shared" si="83"/>
        <v>1.61553370257872E-20</v>
      </c>
      <c r="AG121" s="63">
        <f t="shared" si="84"/>
        <v>-197.91683977484598</v>
      </c>
      <c r="AH121" s="116">
        <v>-175</v>
      </c>
      <c r="AI121" s="63" t="str">
        <f t="shared" si="105"/>
        <v>1.49534475266344E-26</v>
      </c>
      <c r="AJ121" s="63">
        <f t="shared" si="85"/>
        <v>-258.25258668932514</v>
      </c>
      <c r="AK121" s="63">
        <f t="shared" si="86"/>
        <v>-182.83232605484426</v>
      </c>
      <c r="AL121" s="49">
        <f t="shared" si="106"/>
        <v>2.8391799125427331E-12</v>
      </c>
    </row>
    <row r="122" spans="5:38" x14ac:dyDescent="0.25">
      <c r="E122" s="68">
        <v>50118.723362727404</v>
      </c>
      <c r="F122" s="61" t="str">
        <f t="shared" si="74"/>
        <v>314905226.247287i</v>
      </c>
      <c r="G122" s="83" t="str">
        <f t="shared" si="88"/>
        <v>-0.218904903617666-0.00710651709934793i</v>
      </c>
      <c r="H122" s="62" t="str">
        <f t="shared" si="89"/>
        <v>-2.63283550886363E-08+8.11002907967172E-07i</v>
      </c>
      <c r="I122" s="62" t="str">
        <f t="shared" si="90"/>
        <v>-0.000001579661883363+0.0000486601770402831i</v>
      </c>
      <c r="J122" s="89" t="str">
        <f t="shared" si="91"/>
        <v>-0.00397012333434322+0.122296363769706i</v>
      </c>
      <c r="K122" s="89" t="str">
        <f t="shared" si="92"/>
        <v>-4.53085814944889E-07-0.558673462899871i</v>
      </c>
      <c r="L122" s="89" t="str">
        <f t="shared" si="93"/>
        <v>1.0000000263277-8.11002950671385E-07i</v>
      </c>
      <c r="M122" s="63">
        <f t="shared" si="75"/>
        <v>-186.02059991327963</v>
      </c>
      <c r="N122" s="63">
        <f t="shared" si="94"/>
        <v>-149.51029995663981</v>
      </c>
      <c r="O122" s="63" t="str">
        <f t="shared" si="95"/>
        <v>2.65382206980435E-24+1.14794370197489E-41i</v>
      </c>
      <c r="P122" s="63">
        <f t="shared" si="76"/>
        <v>-235.76128198537359</v>
      </c>
      <c r="Q122" s="63" t="str">
        <f t="shared" si="96"/>
        <v>1.65691931341109E-26-8.96831017167883E-44i</v>
      </c>
      <c r="R122" s="63">
        <f t="shared" si="77"/>
        <v>-257.80698639796424</v>
      </c>
      <c r="S122" s="63" t="str">
        <f t="shared" si="97"/>
        <v>4.71761748957325E-26</v>
      </c>
      <c r="T122" s="63">
        <f t="shared" si="78"/>
        <v>-253.26277275171944</v>
      </c>
      <c r="U122" s="63" t="str">
        <f t="shared" si="98"/>
        <v>6.57994316351578E-22</v>
      </c>
      <c r="V122" s="63">
        <f t="shared" si="79"/>
        <v>-211.81777857735295</v>
      </c>
      <c r="W122" s="63">
        <f t="shared" si="99"/>
        <v>109.08983404943042</v>
      </c>
      <c r="X122" s="63" t="str">
        <f t="shared" si="100"/>
        <v>0.253996635760952-14.4295881391075i</v>
      </c>
      <c r="Y122" s="90" t="str">
        <f t="shared" si="101"/>
        <v>1.00232832543907E-10-1.32272528094315E-11i</v>
      </c>
      <c r="Z122" s="90" t="str">
        <f t="shared" si="102"/>
        <v>2.53996635760952E-14-1.44295881391075E-12i</v>
      </c>
      <c r="AA122" s="90" t="str">
        <f t="shared" si="103"/>
        <v>5.01164162719535E-11-6.61362640471575E-12i</v>
      </c>
      <c r="AB122" s="90" t="str">
        <f t="shared" si="80"/>
        <v>1.99427462476389E-21</v>
      </c>
      <c r="AC122" s="90">
        <f t="shared" si="81"/>
        <v>-207.00215036692779</v>
      </c>
      <c r="AD122" s="90" t="str">
        <f t="shared" si="104"/>
        <v>3.98107191516248E-19</v>
      </c>
      <c r="AE122" s="63">
        <f t="shared" si="82"/>
        <v>-183.9999997713177</v>
      </c>
      <c r="AF122" s="63" t="str">
        <f t="shared" si="83"/>
        <v>2.14724303470496E-27</v>
      </c>
      <c r="AG122" s="63">
        <f t="shared" si="84"/>
        <v>-266.68118797362627</v>
      </c>
      <c r="AH122" s="116">
        <v>-175</v>
      </c>
      <c r="AI122" s="63" t="str">
        <f t="shared" si="105"/>
        <v>7.49557254605918E-27</v>
      </c>
      <c r="AJ122" s="63">
        <f t="shared" si="85"/>
        <v>-261.25195188152964</v>
      </c>
      <c r="AK122" s="63">
        <f t="shared" si="86"/>
        <v>-183.97113261347346</v>
      </c>
      <c r="AL122" s="49">
        <f t="shared" si="106"/>
        <v>2.4508247519644313E-12</v>
      </c>
    </row>
    <row r="123" spans="5:38" x14ac:dyDescent="0.25">
      <c r="E123" s="68">
        <v>56234.132519035098</v>
      </c>
      <c r="F123" s="61" t="str">
        <f t="shared" si="74"/>
        <v>353329475.205591i</v>
      </c>
      <c r="G123" s="83" t="str">
        <f t="shared" si="88"/>
        <v>-0.173911280394825-0.00503160383037886i</v>
      </c>
      <c r="H123" s="62" t="str">
        <f t="shared" si="89"/>
        <v>-1.6613967644108E-08+5.7424163007036E-07i</v>
      </c>
      <c r="I123" s="62" t="str">
        <f t="shared" si="90"/>
        <v>-9.96818289999945E-07+0.0000344544989490621i</v>
      </c>
      <c r="J123" s="89" t="str">
        <f t="shared" si="91"/>
        <v>-0.00250527761346222+0.0865936006251922i</v>
      </c>
      <c r="K123" s="89" t="str">
        <f t="shared" si="92"/>
        <v>-2.85925388300182E-07-0.497918243083131i</v>
      </c>
      <c r="L123" s="89" t="str">
        <f t="shared" si="93"/>
        <v>1.00000001661364-5.74241649151035E-07i</v>
      </c>
      <c r="M123" s="63">
        <f t="shared" si="75"/>
        <v>-186.52059991327963</v>
      </c>
      <c r="N123" s="63">
        <f t="shared" si="94"/>
        <v>-149.51029995663981</v>
      </c>
      <c r="O123" s="63" t="str">
        <f t="shared" si="95"/>
        <v>1.3301838954948E-24</v>
      </c>
      <c r="P123" s="63">
        <f t="shared" si="76"/>
        <v>-238.76088314463141</v>
      </c>
      <c r="Q123" s="63" t="str">
        <f t="shared" si="96"/>
        <v>8.30523241423908E-27</v>
      </c>
      <c r="R123" s="63">
        <f t="shared" si="77"/>
        <v>-260.80648209713581</v>
      </c>
      <c r="S123" s="63" t="str">
        <f t="shared" si="97"/>
        <v>2.36468422905418E-26</v>
      </c>
      <c r="T123" s="63">
        <f t="shared" si="78"/>
        <v>-256.26226845089099</v>
      </c>
      <c r="U123" s="63" t="str">
        <f t="shared" si="98"/>
        <v>4.15196433843467E-22-4.48415508583941E-44i</v>
      </c>
      <c r="V123" s="63">
        <f t="shared" si="79"/>
        <v>-213.81746385334827</v>
      </c>
      <c r="W123" s="63">
        <f t="shared" si="99"/>
        <v>109.08983404943042</v>
      </c>
      <c r="X123" s="63" t="str">
        <f t="shared" si="100"/>
        <v>0.201771324640099-12.8612579294892i</v>
      </c>
      <c r="Y123" s="90" t="str">
        <f t="shared" si="101"/>
        <v>1.00184958870273E-10-1.17896026165569E-11i</v>
      </c>
      <c r="Z123" s="90" t="str">
        <f t="shared" si="102"/>
        <v>2.01771324640099E-14-1.28612579294892E-12i</v>
      </c>
      <c r="AA123" s="90" t="str">
        <f t="shared" si="103"/>
        <v>5.00924794351365E-11-5.89480130827845E-12i</v>
      </c>
      <c r="AB123" s="90" t="str">
        <f t="shared" si="80"/>
        <v>1.57699589529495E-21-1.79366203433577E-43i</v>
      </c>
      <c r="AC123" s="90">
        <f t="shared" si="81"/>
        <v>-208.02169437078879</v>
      </c>
      <c r="AD123" s="90" t="str">
        <f t="shared" si="104"/>
        <v>3.16227776524326E-19</v>
      </c>
      <c r="AE123" s="63">
        <f t="shared" si="82"/>
        <v>-184.9999998556944</v>
      </c>
      <c r="AF123" s="63" t="str">
        <f t="shared" si="83"/>
        <v>7.37993745622063E-21+4.70197740328915E-38i</v>
      </c>
      <c r="AG123" s="63">
        <f t="shared" si="84"/>
        <v>-201.31947318737033</v>
      </c>
      <c r="AH123" s="116">
        <v>-175</v>
      </c>
      <c r="AI123" s="63" t="str">
        <f t="shared" si="105"/>
        <v>3.75712151876927E-27</v>
      </c>
      <c r="AJ123" s="63">
        <f t="shared" si="85"/>
        <v>-264.2514475807011</v>
      </c>
      <c r="AK123" s="63">
        <f t="shared" si="86"/>
        <v>-184.87313906886132</v>
      </c>
      <c r="AL123" s="49">
        <f t="shared" si="106"/>
        <v>2.2341463174263481E-12</v>
      </c>
    </row>
    <row r="124" spans="5:38" x14ac:dyDescent="0.25">
      <c r="E124" s="68">
        <v>63095.734448019502</v>
      </c>
      <c r="F124" s="61" t="str">
        <f t="shared" si="74"/>
        <v>396442191.629501i</v>
      </c>
      <c r="G124" s="83" t="str">
        <f t="shared" si="88"/>
        <v>-0.138160900083396-0.00356242612165802i</v>
      </c>
      <c r="H124" s="62" t="str">
        <f t="shared" si="89"/>
        <v>-1.04836566247348E-08+4.06585676719802E-07i</v>
      </c>
      <c r="I124" s="62" t="str">
        <f t="shared" si="90"/>
        <v>-6.29009485363451E-07+0.0000243951411146846i</v>
      </c>
      <c r="J124" s="89" t="str">
        <f t="shared" si="91"/>
        <v>-0.00158087326260489+0.0613116768873436i</v>
      </c>
      <c r="K124" s="89" t="str">
        <f t="shared" si="92"/>
        <v>-1.80430567715029E-07-0.443770098541371i</v>
      </c>
      <c r="L124" s="89" t="str">
        <f t="shared" si="93"/>
        <v>1.00000001048349-4.06585685244745E-07i</v>
      </c>
      <c r="M124" s="63">
        <f t="shared" si="75"/>
        <v>-187.02059991327963</v>
      </c>
      <c r="N124" s="63">
        <f t="shared" si="94"/>
        <v>-149.51029995663981</v>
      </c>
      <c r="O124" s="63" t="str">
        <f t="shared" si="95"/>
        <v>6.66718256931837E-25</v>
      </c>
      <c r="P124" s="63">
        <f t="shared" si="76"/>
        <v>-241.76057652304775</v>
      </c>
      <c r="Q124" s="63" t="str">
        <f t="shared" si="96"/>
        <v>4.16286044386489E-27</v>
      </c>
      <c r="R124" s="63">
        <f t="shared" si="77"/>
        <v>-263.80608148199292</v>
      </c>
      <c r="S124" s="63" t="str">
        <f t="shared" si="97"/>
        <v>1.1852588763782E-26</v>
      </c>
      <c r="T124" s="63">
        <f t="shared" si="78"/>
        <v>-259.26186783574803</v>
      </c>
      <c r="U124" s="63" t="str">
        <f t="shared" si="98"/>
        <v>2.61986321506352E-22</v>
      </c>
      <c r="V124" s="63">
        <f t="shared" si="79"/>
        <v>-215.8172138291456</v>
      </c>
      <c r="W124" s="63">
        <f t="shared" si="99"/>
        <v>109.08983404943042</v>
      </c>
      <c r="X124" s="63" t="str">
        <f t="shared" si="100"/>
        <v>0.16028188927921-11.463226994584i</v>
      </c>
      <c r="Y124" s="90" t="str">
        <f t="shared" si="101"/>
        <v>1.00146926513067E-10-1.05080616305547E-11i</v>
      </c>
      <c r="Z124" s="90" t="str">
        <f t="shared" si="102"/>
        <v>1.6028188927921E-14-1.1463226994584E-12i</v>
      </c>
      <c r="AA124" s="90" t="str">
        <f t="shared" si="103"/>
        <v>5.00734632565335E-11-5.25403081527735E-12i</v>
      </c>
      <c r="AB124" s="90" t="str">
        <f t="shared" si="80"/>
        <v>1.24816394790391E-21</v>
      </c>
      <c r="AC124" s="90">
        <f t="shared" si="81"/>
        <v>-209.03728365780546</v>
      </c>
      <c r="AD124" s="90" t="str">
        <f t="shared" si="104"/>
        <v>2.51188648417665E-19</v>
      </c>
      <c r="AE124" s="63">
        <f t="shared" si="82"/>
        <v>-185.99999990894088</v>
      </c>
      <c r="AF124" s="63" t="str">
        <f t="shared" si="83"/>
        <v>5.02933271357967E-20</v>
      </c>
      <c r="AG124" s="63">
        <f t="shared" si="84"/>
        <v>-192.98489632843567</v>
      </c>
      <c r="AH124" s="116">
        <v>-175</v>
      </c>
      <c r="AI124" s="63" t="str">
        <f t="shared" si="105"/>
        <v>1.88319504779457E-27-5.60519385729927E-45i</v>
      </c>
      <c r="AJ124" s="63">
        <f t="shared" si="85"/>
        <v>-267.25104696555826</v>
      </c>
      <c r="AK124" s="63">
        <f t="shared" si="86"/>
        <v>-185.18567676525348</v>
      </c>
      <c r="AL124" s="49">
        <f t="shared" si="106"/>
        <v>2.3326943777870077E-12</v>
      </c>
    </row>
    <row r="125" spans="5:38" x14ac:dyDescent="0.25">
      <c r="E125" s="68">
        <v>70794.578438414101</v>
      </c>
      <c r="F125" s="61" t="str">
        <f t="shared" si="74"/>
        <v>444815455.072216i</v>
      </c>
      <c r="G125" s="83" t="str">
        <f t="shared" si="88"/>
        <v>-0.109756626558785-0.00252218643939166i</v>
      </c>
      <c r="H125" s="62" t="str">
        <f t="shared" si="89"/>
        <v>-6.61521719266523E-09+2.87870837651373E-07i</v>
      </c>
      <c r="I125" s="62" t="str">
        <f t="shared" si="90"/>
        <v>-3.96908062008331E-07+0.0000172722504876003i</v>
      </c>
      <c r="J125" s="89" t="str">
        <f t="shared" si="91"/>
        <v>-0.00099753876140475+0.0434099001942463i</v>
      </c>
      <c r="K125" s="89" t="str">
        <f t="shared" si="92"/>
        <v>-1.13855944038032E-07-0.395510515110725i</v>
      </c>
      <c r="L125" s="89" t="str">
        <f t="shared" si="93"/>
        <v>1.00000000661513-2.87870841460005E-07i</v>
      </c>
      <c r="M125" s="63">
        <f t="shared" si="75"/>
        <v>-187.52059991327965</v>
      </c>
      <c r="N125" s="63">
        <f t="shared" si="94"/>
        <v>-149.51029995663981</v>
      </c>
      <c r="O125" s="63" t="str">
        <f t="shared" si="95"/>
        <v>3.34168719520878E-25+1.43492962746861E-42i</v>
      </c>
      <c r="P125" s="63">
        <f t="shared" si="76"/>
        <v>-244.7603420547577</v>
      </c>
      <c r="Q125" s="63" t="str">
        <f t="shared" si="96"/>
        <v>2.08652540042346E-27</v>
      </c>
      <c r="R125" s="63">
        <f t="shared" si="77"/>
        <v>-266.80576324014049</v>
      </c>
      <c r="S125" s="63" t="str">
        <f t="shared" si="97"/>
        <v>5.94080148731678E-27-2.24207754291971E-44i</v>
      </c>
      <c r="T125" s="63">
        <f t="shared" si="78"/>
        <v>-262.26154959389567</v>
      </c>
      <c r="U125" s="63" t="str">
        <f t="shared" si="98"/>
        <v>1.65309753811277E-22</v>
      </c>
      <c r="V125" s="63">
        <f t="shared" si="79"/>
        <v>-217.81701520890482</v>
      </c>
      <c r="W125" s="63">
        <f t="shared" si="99"/>
        <v>109.08983404943042</v>
      </c>
      <c r="X125" s="63" t="str">
        <f t="shared" si="100"/>
        <v>0.127322253977334-10.2170499346182i</v>
      </c>
      <c r="Y125" s="90" t="str">
        <f t="shared" si="101"/>
        <v>1.00116713216302E-10-9.36572140167404E-12i</v>
      </c>
      <c r="Z125" s="90" t="str">
        <f t="shared" si="102"/>
        <v>1.27322253977334E-14-1.02170499346182E-12i</v>
      </c>
      <c r="AA125" s="90" t="str">
        <f t="shared" si="103"/>
        <v>5.0058356608151E-11-4.68286070083702E-12i</v>
      </c>
      <c r="AB125" s="90" t="str">
        <f t="shared" si="80"/>
        <v>9.8861957554432E-22-4.48415508583941E-44i</v>
      </c>
      <c r="AC125" s="90">
        <f t="shared" si="81"/>
        <v>-210.04970794374219</v>
      </c>
      <c r="AD125" s="90" t="str">
        <f t="shared" si="104"/>
        <v>1.99526234136686E-19</v>
      </c>
      <c r="AE125" s="63">
        <f t="shared" si="82"/>
        <v>-186.99999994254139</v>
      </c>
      <c r="AF125" s="63" t="str">
        <f t="shared" si="83"/>
        <v>7.57860433099505E-20+3.76158192263132E-37i</v>
      </c>
      <c r="AG125" s="63">
        <f t="shared" si="84"/>
        <v>-191.20410766288302</v>
      </c>
      <c r="AH125" s="116">
        <v>-175</v>
      </c>
      <c r="AI125" s="63" t="str">
        <f t="shared" si="105"/>
        <v>9.43902481037044E-28-2.80259692864963E-45i</v>
      </c>
      <c r="AJ125" s="63">
        <f t="shared" si="85"/>
        <v>-270.25072872370583</v>
      </c>
      <c r="AK125" s="63">
        <f t="shared" si="86"/>
        <v>-185.58357407092458</v>
      </c>
      <c r="AL125" s="49">
        <f t="shared" si="106"/>
        <v>2.3881858018824653E-12</v>
      </c>
    </row>
    <row r="126" spans="5:38" x14ac:dyDescent="0.25">
      <c r="E126" s="68">
        <v>79432.823472428499</v>
      </c>
      <c r="F126" s="61" t="str">
        <f t="shared" si="74"/>
        <v>499091149.349753i</v>
      </c>
      <c r="G126" s="83" t="str">
        <f t="shared" si="88"/>
        <v>-0.0871900585389491-0.00178567354835391i</v>
      </c>
      <c r="H126" s="62" t="str">
        <f t="shared" si="89"/>
        <v>-4.17415898704502E-09+2.03813942793088E-07i</v>
      </c>
      <c r="I126" s="62" t="str">
        <f t="shared" si="90"/>
        <v>-2.50447047860689E-07+0.000012228836669675i</v>
      </c>
      <c r="J126" s="89" t="str">
        <f t="shared" si="91"/>
        <v>-0.000629442084537915+0.0307344187547204i</v>
      </c>
      <c r="K126" s="89" t="str">
        <f t="shared" si="92"/>
        <v>-7.18442351206259E-08-0.352499116773738i</v>
      </c>
      <c r="L126" s="89" t="str">
        <f t="shared" si="93"/>
        <v>1.00000000417412-2.03813944494583E-07i</v>
      </c>
      <c r="M126" s="63">
        <f t="shared" si="75"/>
        <v>-188.02059991327965</v>
      </c>
      <c r="N126" s="63">
        <f t="shared" si="94"/>
        <v>-149.51029995663981</v>
      </c>
      <c r="O126" s="63" t="str">
        <f t="shared" si="95"/>
        <v>1.67487965935314E-25</v>
      </c>
      <c r="P126" s="63">
        <f t="shared" si="76"/>
        <v>-247.76016391705585</v>
      </c>
      <c r="Q126" s="63" t="str">
        <f t="shared" si="96"/>
        <v>1.04580076750465E-27+2.80259692864963E-45i</v>
      </c>
      <c r="R126" s="63">
        <f t="shared" si="77"/>
        <v>-269.80551043781071</v>
      </c>
      <c r="S126" s="63" t="str">
        <f t="shared" si="97"/>
        <v>2.97762718525629E-27</v>
      </c>
      <c r="T126" s="63">
        <f t="shared" si="78"/>
        <v>-265.26129679156588</v>
      </c>
      <c r="U126" s="63" t="str">
        <f t="shared" si="98"/>
        <v>1.0430719275159E-22</v>
      </c>
      <c r="V126" s="63">
        <f t="shared" si="79"/>
        <v>-219.81685742727649</v>
      </c>
      <c r="W126" s="63">
        <f t="shared" si="99"/>
        <v>109.08983404943042</v>
      </c>
      <c r="X126" s="63" t="str">
        <f t="shared" si="100"/>
        <v>0.101139336118914-9.10626553102513i</v>
      </c>
      <c r="Y126" s="90" t="str">
        <f t="shared" si="101"/>
        <v>1.00092711971743E-10-8.34749233086094E-12i</v>
      </c>
      <c r="Z126" s="90" t="str">
        <f t="shared" si="102"/>
        <v>1.01139336118914E-14-9.10626553102513E-13i</v>
      </c>
      <c r="AA126" s="90" t="str">
        <f t="shared" si="103"/>
        <v>5.00463559858715E-11-4.17374616543047E-12i</v>
      </c>
      <c r="AB126" s="90" t="str">
        <f t="shared" si="80"/>
        <v>7.83501242965709E-22</v>
      </c>
      <c r="AC126" s="90">
        <f t="shared" si="81"/>
        <v>-211.05960310219359</v>
      </c>
      <c r="AD126" s="90" t="str">
        <f t="shared" si="104"/>
        <v>1.58489320569223E-19</v>
      </c>
      <c r="AE126" s="63">
        <f t="shared" si="82"/>
        <v>-187.99999996374393</v>
      </c>
      <c r="AF126" s="63" t="str">
        <f t="shared" si="83"/>
        <v>3.73859257963278E-20</v>
      </c>
      <c r="AG126" s="63">
        <f t="shared" si="84"/>
        <v>-194.27291860349436</v>
      </c>
      <c r="AH126" s="116">
        <v>-175</v>
      </c>
      <c r="AI126" s="63" t="str">
        <f t="shared" si="105"/>
        <v>4.7309941154694E-28</v>
      </c>
      <c r="AJ126" s="63">
        <f t="shared" si="85"/>
        <v>-273.25047592137599</v>
      </c>
      <c r="AK126" s="63">
        <f t="shared" si="86"/>
        <v>-187.06056063914298</v>
      </c>
      <c r="AL126" s="49">
        <f t="shared" si="106"/>
        <v>1.9070823871645247E-12</v>
      </c>
    </row>
    <row r="127" spans="5:38" x14ac:dyDescent="0.25">
      <c r="E127" s="68">
        <v>89125.0938133749</v>
      </c>
      <c r="F127" s="61" t="str">
        <f t="shared" si="74"/>
        <v>559989479.949199i</v>
      </c>
      <c r="G127" s="83" t="str">
        <f t="shared" si="88"/>
        <v>-0.0692621134447028-0.00126421758787729i</v>
      </c>
      <c r="H127" s="62" t="str">
        <f t="shared" si="89"/>
        <v>-2.63383612014278E-09+1.44298780445216E-07i</v>
      </c>
      <c r="I127" s="62" t="str">
        <f t="shared" si="90"/>
        <v>-0.0000001580289182965+8.65792687231988E-06i</v>
      </c>
      <c r="J127" s="89" t="str">
        <f t="shared" si="91"/>
        <v>-0.000397169991020021+0.0217597435659181i</v>
      </c>
      <c r="K127" s="89" t="str">
        <f t="shared" si="92"/>
        <v>-4.53336507247857E-08-0.314165168032002i</v>
      </c>
      <c r="L127" s="89" t="str">
        <f t="shared" si="93"/>
        <v>1.00000000263382-1.44298781205332E-07i</v>
      </c>
      <c r="M127" s="63">
        <f t="shared" si="75"/>
        <v>-188.52059991327963</v>
      </c>
      <c r="N127" s="63">
        <f t="shared" si="94"/>
        <v>-149.51029995663981</v>
      </c>
      <c r="O127" s="63" t="str">
        <f t="shared" si="95"/>
        <v>8.39454256123392E-26-1.79366203433577E-43i</v>
      </c>
      <c r="P127" s="63">
        <f t="shared" si="76"/>
        <v>-250.76002964629524</v>
      </c>
      <c r="Q127" s="63" t="str">
        <f t="shared" si="96"/>
        <v>5.24166230355617E-28</v>
      </c>
      <c r="R127" s="63">
        <f t="shared" si="77"/>
        <v>-272.80530962104854</v>
      </c>
      <c r="S127" s="63" t="str">
        <f t="shared" si="97"/>
        <v>1.49241773920697E-27</v>
      </c>
      <c r="T127" s="63">
        <f t="shared" si="78"/>
        <v>-268.26109597480365</v>
      </c>
      <c r="U127" s="63" t="str">
        <f t="shared" si="98"/>
        <v>6.58152887591E-23</v>
      </c>
      <c r="V127" s="63">
        <f t="shared" si="79"/>
        <v>-221.81673208932494</v>
      </c>
      <c r="W127" s="63">
        <f t="shared" si="99"/>
        <v>109.08983404943042</v>
      </c>
      <c r="X127" s="63" t="str">
        <f t="shared" si="100"/>
        <v>0.0803401491616944-8.11618731074282i</v>
      </c>
      <c r="Y127" s="90" t="str">
        <f t="shared" si="101"/>
        <v>1.00073645862478E-10-7.43991168513946E-12i</v>
      </c>
      <c r="Z127" s="90" t="str">
        <f t="shared" si="102"/>
        <v>8.03401491616944E-15-8.11618731074282E-13i</v>
      </c>
      <c r="AA127" s="90" t="str">
        <f t="shared" si="103"/>
        <v>5.0036822931239E-11-3.71995584256973E-12i</v>
      </c>
      <c r="AB127" s="90" t="str">
        <f t="shared" si="80"/>
        <v>6.21229439920295E-22</v>
      </c>
      <c r="AC127" s="90">
        <f t="shared" si="81"/>
        <v>-212.06747971340175</v>
      </c>
      <c r="AD127" s="90" t="str">
        <f t="shared" si="104"/>
        <v>1.25892541842575E-19</v>
      </c>
      <c r="AE127" s="63">
        <f t="shared" si="82"/>
        <v>-188.99999997712285</v>
      </c>
      <c r="AF127" s="63" t="str">
        <f t="shared" si="83"/>
        <v>3.4839692339787E-21+1.17549435082229E-38i</v>
      </c>
      <c r="AG127" s="63">
        <f t="shared" si="84"/>
        <v>-204.5792568878845</v>
      </c>
      <c r="AH127" s="116">
        <v>-175</v>
      </c>
      <c r="AI127" s="63" t="str">
        <f t="shared" si="105"/>
        <v>2.37122349532912E-28</v>
      </c>
      <c r="AJ127" s="63">
        <f t="shared" si="85"/>
        <v>-276.25027510461382</v>
      </c>
      <c r="AK127" s="63">
        <f t="shared" si="86"/>
        <v>-188.85844089169782</v>
      </c>
      <c r="AL127" s="49">
        <f t="shared" si="106"/>
        <v>1.4144299050882588E-12</v>
      </c>
    </row>
    <row r="128" spans="5:38" x14ac:dyDescent="0.25">
      <c r="E128" s="68">
        <v>100000</v>
      </c>
      <c r="F128" s="61" t="str">
        <f t="shared" si="74"/>
        <v>628318530.717959i</v>
      </c>
      <c r="G128" s="83" t="str">
        <f t="shared" si="88"/>
        <v>-0.0550197474377169-0.000895029863716218i</v>
      </c>
      <c r="H128" s="62" t="str">
        <f t="shared" si="89"/>
        <v>-1.66189831529519E-09+1.02161089011103E-07i</v>
      </c>
      <c r="I128" s="62" t="str">
        <f t="shared" si="90"/>
        <v>-9.97132728701358E-08+6.12966536103989E-06i</v>
      </c>
      <c r="J128" s="89" t="str">
        <f t="shared" si="91"/>
        <v>-0.000250606788411369+0.0154055293337654i</v>
      </c>
      <c r="K128" s="89" t="str">
        <f t="shared" si="92"/>
        <v>-2.86051050181861E-08-0.280000000465329i</v>
      </c>
      <c r="L128" s="89" t="str">
        <f t="shared" si="93"/>
        <v>1.00000000166189-1.02161089350665E-07i</v>
      </c>
      <c r="M128" s="63">
        <f t="shared" si="75"/>
        <v>-189.02059991327963</v>
      </c>
      <c r="N128" s="63">
        <f t="shared" si="94"/>
        <v>-149.51029995663981</v>
      </c>
      <c r="O128" s="63" t="str">
        <f t="shared" si="95"/>
        <v>4.20733464350749E-26</v>
      </c>
      <c r="P128" s="63">
        <f t="shared" si="76"/>
        <v>-253.75992943640537</v>
      </c>
      <c r="Q128" s="63" t="str">
        <f t="shared" si="96"/>
        <v>2.62715072516267E-28</v>
      </c>
      <c r="R128" s="63">
        <f t="shared" si="77"/>
        <v>-275.80515010111293</v>
      </c>
      <c r="S128" s="63" t="str">
        <f t="shared" si="97"/>
        <v>7.48008192581038E-28</v>
      </c>
      <c r="T128" s="63">
        <f t="shared" si="78"/>
        <v>-271.26093645486804</v>
      </c>
      <c r="U128" s="63" t="str">
        <f t="shared" si="98"/>
        <v>4.15275918520682E-23</v>
      </c>
      <c r="V128" s="63">
        <f t="shared" si="79"/>
        <v>-223.81663252508753</v>
      </c>
      <c r="W128" s="63">
        <f t="shared" si="99"/>
        <v>109.08983404943042</v>
      </c>
      <c r="X128" s="63" t="str">
        <f t="shared" si="100"/>
        <v>0.0638179120267385-7.23371503714634i</v>
      </c>
      <c r="Y128" s="90" t="str">
        <f t="shared" si="101"/>
        <v>1.00058500329185E-10-6.6309707959301E-12i</v>
      </c>
      <c r="Z128" s="90" t="str">
        <f t="shared" si="102"/>
        <v>6.38179120267385E-15-7.23371503714634E-13i</v>
      </c>
      <c r="AA128" s="90" t="str">
        <f t="shared" si="103"/>
        <v>5.00292501645925E-11-3.31548539796505E-12i</v>
      </c>
      <c r="AB128" s="90" t="str">
        <f t="shared" si="80"/>
        <v>4.92748505103807E-22</v>
      </c>
      <c r="AC128" s="90">
        <f t="shared" si="81"/>
        <v>-213.07374684605401</v>
      </c>
      <c r="AD128" s="90" t="str">
        <f t="shared" si="104"/>
        <v>1.00000000332379E-19</v>
      </c>
      <c r="AE128" s="63">
        <f t="shared" si="82"/>
        <v>-189.99999998556495</v>
      </c>
      <c r="AF128" s="63" t="str">
        <f t="shared" si="83"/>
        <v>1E-30</v>
      </c>
      <c r="AG128" s="63">
        <f t="shared" si="84"/>
        <v>-300</v>
      </c>
      <c r="AH128" s="116">
        <v>-175</v>
      </c>
      <c r="AI128" s="63" t="str">
        <f t="shared" si="105"/>
        <v>1.1884705966369E-28</v>
      </c>
      <c r="AJ128" s="63">
        <f t="shared" si="85"/>
        <v>-279.25011558467821</v>
      </c>
      <c r="AK128" s="63">
        <f t="shared" si="86"/>
        <v>-189.97685656820556</v>
      </c>
      <c r="AL128" s="49"/>
    </row>
  </sheetData>
  <sheetProtection password="E0F9" sheet="1" objects="1" scenarios="1" selectLockedCells="1"/>
  <mergeCells count="5">
    <mergeCell ref="A1:I1"/>
    <mergeCell ref="H6:L6"/>
    <mergeCell ref="AH6:AH7"/>
    <mergeCell ref="AL6:AL7"/>
    <mergeCell ref="A36:C36"/>
  </mergeCells>
  <pageMargins left="0.7" right="0.7" top="0.75" bottom="0.75" header="0.3" footer="0.3"/>
  <pageSetup orientation="portrait" r:id="rId1"/>
  <ignoredErrors>
    <ignoredError sqref="AD8:AD128 Q8:Q128 S8:S128 U8:U128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28"/>
  <sheetViews>
    <sheetView tabSelected="1" zoomScale="70" zoomScaleNormal="70" workbookViewId="0">
      <selection activeCell="AJ6" sqref="AJ6"/>
    </sheetView>
  </sheetViews>
  <sheetFormatPr defaultRowHeight="15" x14ac:dyDescent="0.25"/>
  <cols>
    <col min="1" max="1" width="20.140625" bestFit="1" customWidth="1"/>
    <col min="2" max="2" width="8.5703125" bestFit="1" customWidth="1"/>
    <col min="3" max="3" width="14.42578125" bestFit="1" customWidth="1"/>
    <col min="4" max="4" width="2.5703125" customWidth="1"/>
    <col min="5" max="5" width="10.85546875" customWidth="1"/>
    <col min="6" max="6" width="20.28515625" hidden="1" customWidth="1"/>
    <col min="7" max="7" width="18.42578125" style="80" hidden="1" customWidth="1"/>
    <col min="8" max="8" width="12.28515625" hidden="1" customWidth="1"/>
    <col min="9" max="9" width="11.28515625" hidden="1" customWidth="1"/>
    <col min="10" max="12" width="11.85546875" hidden="1" customWidth="1"/>
    <col min="13" max="15" width="9.140625" hidden="1" customWidth="1"/>
    <col min="16" max="16" width="10" customWidth="1"/>
    <col min="17" max="17" width="10" hidden="1" customWidth="1"/>
    <col min="18" max="18" width="10" customWidth="1"/>
    <col min="19" max="19" width="10" hidden="1" customWidth="1"/>
    <col min="20" max="20" width="10" customWidth="1"/>
    <col min="21" max="21" width="10" hidden="1" customWidth="1"/>
    <col min="22" max="22" width="10" customWidth="1"/>
    <col min="23" max="23" width="10" hidden="1" customWidth="1"/>
    <col min="24" max="24" width="17.140625" hidden="1" customWidth="1"/>
    <col min="25" max="25" width="10.5703125" hidden="1" customWidth="1"/>
    <col min="26" max="28" width="11.28515625" hidden="1" customWidth="1"/>
    <col min="29" max="29" width="11.28515625" customWidth="1"/>
    <col min="30" max="30" width="11.28515625" hidden="1" customWidth="1"/>
    <col min="31" max="31" width="10" customWidth="1"/>
    <col min="32" max="32" width="10" hidden="1" customWidth="1"/>
    <col min="33" max="33" width="9.140625" bestFit="1" customWidth="1"/>
    <col min="34" max="34" width="9" style="129" customWidth="1"/>
    <col min="35" max="35" width="9.5703125" hidden="1" customWidth="1"/>
    <col min="36" max="36" width="9.5703125" style="129" customWidth="1"/>
    <col min="37" max="37" width="12.42578125" bestFit="1" customWidth="1"/>
    <col min="38" max="38" width="11" customWidth="1"/>
    <col min="39" max="39" width="32.42578125" customWidth="1"/>
    <col min="40" max="40" width="9.28515625" bestFit="1" customWidth="1"/>
    <col min="274" max="274" width="20.140625" bestFit="1" customWidth="1"/>
    <col min="275" max="275" width="8.5703125" bestFit="1" customWidth="1"/>
    <col min="276" max="276" width="14.42578125" bestFit="1" customWidth="1"/>
    <col min="277" max="277" width="2.5703125" customWidth="1"/>
    <col min="278" max="278" width="10.85546875" customWidth="1"/>
    <col min="279" max="279" width="11" customWidth="1"/>
    <col min="280" max="283" width="11.5703125" bestFit="1" customWidth="1"/>
    <col min="284" max="284" width="7.5703125" bestFit="1" customWidth="1"/>
    <col min="285" max="285" width="11.85546875" customWidth="1"/>
    <col min="287" max="287" width="10" customWidth="1"/>
    <col min="288" max="288" width="9" customWidth="1"/>
    <col min="289" max="289" width="10.140625" customWidth="1"/>
    <col min="290" max="290" width="9" customWidth="1"/>
    <col min="291" max="291" width="8.5703125" customWidth="1"/>
    <col min="292" max="292" width="8.85546875" customWidth="1"/>
    <col min="293" max="293" width="8.28515625" customWidth="1"/>
    <col min="294" max="294" width="9.5703125" customWidth="1"/>
    <col min="295" max="295" width="32.42578125" customWidth="1"/>
    <col min="296" max="296" width="9.28515625" bestFit="1" customWidth="1"/>
    <col min="530" max="530" width="20.140625" bestFit="1" customWidth="1"/>
    <col min="531" max="531" width="8.5703125" bestFit="1" customWidth="1"/>
    <col min="532" max="532" width="14.42578125" bestFit="1" customWidth="1"/>
    <col min="533" max="533" width="2.5703125" customWidth="1"/>
    <col min="534" max="534" width="10.85546875" customWidth="1"/>
    <col min="535" max="535" width="11" customWidth="1"/>
    <col min="536" max="539" width="11.5703125" bestFit="1" customWidth="1"/>
    <col min="540" max="540" width="7.5703125" bestFit="1" customWidth="1"/>
    <col min="541" max="541" width="11.85546875" customWidth="1"/>
    <col min="543" max="543" width="10" customWidth="1"/>
    <col min="544" max="544" width="9" customWidth="1"/>
    <col min="545" max="545" width="10.140625" customWidth="1"/>
    <col min="546" max="546" width="9" customWidth="1"/>
    <col min="547" max="547" width="8.5703125" customWidth="1"/>
    <col min="548" max="548" width="8.85546875" customWidth="1"/>
    <col min="549" max="549" width="8.28515625" customWidth="1"/>
    <col min="550" max="550" width="9.5703125" customWidth="1"/>
    <col min="551" max="551" width="32.42578125" customWidth="1"/>
    <col min="552" max="552" width="9.28515625" bestFit="1" customWidth="1"/>
    <col min="786" max="786" width="20.140625" bestFit="1" customWidth="1"/>
    <col min="787" max="787" width="8.5703125" bestFit="1" customWidth="1"/>
    <col min="788" max="788" width="14.42578125" bestFit="1" customWidth="1"/>
    <col min="789" max="789" width="2.5703125" customWidth="1"/>
    <col min="790" max="790" width="10.85546875" customWidth="1"/>
    <col min="791" max="791" width="11" customWidth="1"/>
    <col min="792" max="795" width="11.5703125" bestFit="1" customWidth="1"/>
    <col min="796" max="796" width="7.5703125" bestFit="1" customWidth="1"/>
    <col min="797" max="797" width="11.85546875" customWidth="1"/>
    <col min="799" max="799" width="10" customWidth="1"/>
    <col min="800" max="800" width="9" customWidth="1"/>
    <col min="801" max="801" width="10.140625" customWidth="1"/>
    <col min="802" max="802" width="9" customWidth="1"/>
    <col min="803" max="803" width="8.5703125" customWidth="1"/>
    <col min="804" max="804" width="8.85546875" customWidth="1"/>
    <col min="805" max="805" width="8.28515625" customWidth="1"/>
    <col min="806" max="806" width="9.5703125" customWidth="1"/>
    <col min="807" max="807" width="32.42578125" customWidth="1"/>
    <col min="808" max="808" width="9.28515625" bestFit="1" customWidth="1"/>
    <col min="1042" max="1042" width="20.140625" bestFit="1" customWidth="1"/>
    <col min="1043" max="1043" width="8.5703125" bestFit="1" customWidth="1"/>
    <col min="1044" max="1044" width="14.42578125" bestFit="1" customWidth="1"/>
    <col min="1045" max="1045" width="2.5703125" customWidth="1"/>
    <col min="1046" max="1046" width="10.85546875" customWidth="1"/>
    <col min="1047" max="1047" width="11" customWidth="1"/>
    <col min="1048" max="1051" width="11.5703125" bestFit="1" customWidth="1"/>
    <col min="1052" max="1052" width="7.5703125" bestFit="1" customWidth="1"/>
    <col min="1053" max="1053" width="11.85546875" customWidth="1"/>
    <col min="1055" max="1055" width="10" customWidth="1"/>
    <col min="1056" max="1056" width="9" customWidth="1"/>
    <col min="1057" max="1057" width="10.140625" customWidth="1"/>
    <col min="1058" max="1058" width="9" customWidth="1"/>
    <col min="1059" max="1059" width="8.5703125" customWidth="1"/>
    <col min="1060" max="1060" width="8.85546875" customWidth="1"/>
    <col min="1061" max="1061" width="8.28515625" customWidth="1"/>
    <col min="1062" max="1062" width="9.5703125" customWidth="1"/>
    <col min="1063" max="1063" width="32.42578125" customWidth="1"/>
    <col min="1064" max="1064" width="9.28515625" bestFit="1" customWidth="1"/>
    <col min="1298" max="1298" width="20.140625" bestFit="1" customWidth="1"/>
    <col min="1299" max="1299" width="8.5703125" bestFit="1" customWidth="1"/>
    <col min="1300" max="1300" width="14.42578125" bestFit="1" customWidth="1"/>
    <col min="1301" max="1301" width="2.5703125" customWidth="1"/>
    <col min="1302" max="1302" width="10.85546875" customWidth="1"/>
    <col min="1303" max="1303" width="11" customWidth="1"/>
    <col min="1304" max="1307" width="11.5703125" bestFit="1" customWidth="1"/>
    <col min="1308" max="1308" width="7.5703125" bestFit="1" customWidth="1"/>
    <col min="1309" max="1309" width="11.85546875" customWidth="1"/>
    <col min="1311" max="1311" width="10" customWidth="1"/>
    <col min="1312" max="1312" width="9" customWidth="1"/>
    <col min="1313" max="1313" width="10.140625" customWidth="1"/>
    <col min="1314" max="1314" width="9" customWidth="1"/>
    <col min="1315" max="1315" width="8.5703125" customWidth="1"/>
    <col min="1316" max="1316" width="8.85546875" customWidth="1"/>
    <col min="1317" max="1317" width="8.28515625" customWidth="1"/>
    <col min="1318" max="1318" width="9.5703125" customWidth="1"/>
    <col min="1319" max="1319" width="32.42578125" customWidth="1"/>
    <col min="1320" max="1320" width="9.28515625" bestFit="1" customWidth="1"/>
    <col min="1554" max="1554" width="20.140625" bestFit="1" customWidth="1"/>
    <col min="1555" max="1555" width="8.5703125" bestFit="1" customWidth="1"/>
    <col min="1556" max="1556" width="14.42578125" bestFit="1" customWidth="1"/>
    <col min="1557" max="1557" width="2.5703125" customWidth="1"/>
    <col min="1558" max="1558" width="10.85546875" customWidth="1"/>
    <col min="1559" max="1559" width="11" customWidth="1"/>
    <col min="1560" max="1563" width="11.5703125" bestFit="1" customWidth="1"/>
    <col min="1564" max="1564" width="7.5703125" bestFit="1" customWidth="1"/>
    <col min="1565" max="1565" width="11.85546875" customWidth="1"/>
    <col min="1567" max="1567" width="10" customWidth="1"/>
    <col min="1568" max="1568" width="9" customWidth="1"/>
    <col min="1569" max="1569" width="10.140625" customWidth="1"/>
    <col min="1570" max="1570" width="9" customWidth="1"/>
    <col min="1571" max="1571" width="8.5703125" customWidth="1"/>
    <col min="1572" max="1572" width="8.85546875" customWidth="1"/>
    <col min="1573" max="1573" width="8.28515625" customWidth="1"/>
    <col min="1574" max="1574" width="9.5703125" customWidth="1"/>
    <col min="1575" max="1575" width="32.42578125" customWidth="1"/>
    <col min="1576" max="1576" width="9.28515625" bestFit="1" customWidth="1"/>
    <col min="1810" max="1810" width="20.140625" bestFit="1" customWidth="1"/>
    <col min="1811" max="1811" width="8.5703125" bestFit="1" customWidth="1"/>
    <col min="1812" max="1812" width="14.42578125" bestFit="1" customWidth="1"/>
    <col min="1813" max="1813" width="2.5703125" customWidth="1"/>
    <col min="1814" max="1814" width="10.85546875" customWidth="1"/>
    <col min="1815" max="1815" width="11" customWidth="1"/>
    <col min="1816" max="1819" width="11.5703125" bestFit="1" customWidth="1"/>
    <col min="1820" max="1820" width="7.5703125" bestFit="1" customWidth="1"/>
    <col min="1821" max="1821" width="11.85546875" customWidth="1"/>
    <col min="1823" max="1823" width="10" customWidth="1"/>
    <col min="1824" max="1824" width="9" customWidth="1"/>
    <col min="1825" max="1825" width="10.140625" customWidth="1"/>
    <col min="1826" max="1826" width="9" customWidth="1"/>
    <col min="1827" max="1827" width="8.5703125" customWidth="1"/>
    <col min="1828" max="1828" width="8.85546875" customWidth="1"/>
    <col min="1829" max="1829" width="8.28515625" customWidth="1"/>
    <col min="1830" max="1830" width="9.5703125" customWidth="1"/>
    <col min="1831" max="1831" width="32.42578125" customWidth="1"/>
    <col min="1832" max="1832" width="9.28515625" bestFit="1" customWidth="1"/>
    <col min="2066" max="2066" width="20.140625" bestFit="1" customWidth="1"/>
    <col min="2067" max="2067" width="8.5703125" bestFit="1" customWidth="1"/>
    <col min="2068" max="2068" width="14.42578125" bestFit="1" customWidth="1"/>
    <col min="2069" max="2069" width="2.5703125" customWidth="1"/>
    <col min="2070" max="2070" width="10.85546875" customWidth="1"/>
    <col min="2071" max="2071" width="11" customWidth="1"/>
    <col min="2072" max="2075" width="11.5703125" bestFit="1" customWidth="1"/>
    <col min="2076" max="2076" width="7.5703125" bestFit="1" customWidth="1"/>
    <col min="2077" max="2077" width="11.85546875" customWidth="1"/>
    <col min="2079" max="2079" width="10" customWidth="1"/>
    <col min="2080" max="2080" width="9" customWidth="1"/>
    <col min="2081" max="2081" width="10.140625" customWidth="1"/>
    <col min="2082" max="2082" width="9" customWidth="1"/>
    <col min="2083" max="2083" width="8.5703125" customWidth="1"/>
    <col min="2084" max="2084" width="8.85546875" customWidth="1"/>
    <col min="2085" max="2085" width="8.28515625" customWidth="1"/>
    <col min="2086" max="2086" width="9.5703125" customWidth="1"/>
    <col min="2087" max="2087" width="32.42578125" customWidth="1"/>
    <col min="2088" max="2088" width="9.28515625" bestFit="1" customWidth="1"/>
    <col min="2322" max="2322" width="20.140625" bestFit="1" customWidth="1"/>
    <col min="2323" max="2323" width="8.5703125" bestFit="1" customWidth="1"/>
    <col min="2324" max="2324" width="14.42578125" bestFit="1" customWidth="1"/>
    <col min="2325" max="2325" width="2.5703125" customWidth="1"/>
    <col min="2326" max="2326" width="10.85546875" customWidth="1"/>
    <col min="2327" max="2327" width="11" customWidth="1"/>
    <col min="2328" max="2331" width="11.5703125" bestFit="1" customWidth="1"/>
    <col min="2332" max="2332" width="7.5703125" bestFit="1" customWidth="1"/>
    <col min="2333" max="2333" width="11.85546875" customWidth="1"/>
    <col min="2335" max="2335" width="10" customWidth="1"/>
    <col min="2336" max="2336" width="9" customWidth="1"/>
    <col min="2337" max="2337" width="10.140625" customWidth="1"/>
    <col min="2338" max="2338" width="9" customWidth="1"/>
    <col min="2339" max="2339" width="8.5703125" customWidth="1"/>
    <col min="2340" max="2340" width="8.85546875" customWidth="1"/>
    <col min="2341" max="2341" width="8.28515625" customWidth="1"/>
    <col min="2342" max="2342" width="9.5703125" customWidth="1"/>
    <col min="2343" max="2343" width="32.42578125" customWidth="1"/>
    <col min="2344" max="2344" width="9.28515625" bestFit="1" customWidth="1"/>
    <col min="2578" max="2578" width="20.140625" bestFit="1" customWidth="1"/>
    <col min="2579" max="2579" width="8.5703125" bestFit="1" customWidth="1"/>
    <col min="2580" max="2580" width="14.42578125" bestFit="1" customWidth="1"/>
    <col min="2581" max="2581" width="2.5703125" customWidth="1"/>
    <col min="2582" max="2582" width="10.85546875" customWidth="1"/>
    <col min="2583" max="2583" width="11" customWidth="1"/>
    <col min="2584" max="2587" width="11.5703125" bestFit="1" customWidth="1"/>
    <col min="2588" max="2588" width="7.5703125" bestFit="1" customWidth="1"/>
    <col min="2589" max="2589" width="11.85546875" customWidth="1"/>
    <col min="2591" max="2591" width="10" customWidth="1"/>
    <col min="2592" max="2592" width="9" customWidth="1"/>
    <col min="2593" max="2593" width="10.140625" customWidth="1"/>
    <col min="2594" max="2594" width="9" customWidth="1"/>
    <col min="2595" max="2595" width="8.5703125" customWidth="1"/>
    <col min="2596" max="2596" width="8.85546875" customWidth="1"/>
    <col min="2597" max="2597" width="8.28515625" customWidth="1"/>
    <col min="2598" max="2598" width="9.5703125" customWidth="1"/>
    <col min="2599" max="2599" width="32.42578125" customWidth="1"/>
    <col min="2600" max="2600" width="9.28515625" bestFit="1" customWidth="1"/>
    <col min="2834" max="2834" width="20.140625" bestFit="1" customWidth="1"/>
    <col min="2835" max="2835" width="8.5703125" bestFit="1" customWidth="1"/>
    <col min="2836" max="2836" width="14.42578125" bestFit="1" customWidth="1"/>
    <col min="2837" max="2837" width="2.5703125" customWidth="1"/>
    <col min="2838" max="2838" width="10.85546875" customWidth="1"/>
    <col min="2839" max="2839" width="11" customWidth="1"/>
    <col min="2840" max="2843" width="11.5703125" bestFit="1" customWidth="1"/>
    <col min="2844" max="2844" width="7.5703125" bestFit="1" customWidth="1"/>
    <col min="2845" max="2845" width="11.85546875" customWidth="1"/>
    <col min="2847" max="2847" width="10" customWidth="1"/>
    <col min="2848" max="2848" width="9" customWidth="1"/>
    <col min="2849" max="2849" width="10.140625" customWidth="1"/>
    <col min="2850" max="2850" width="9" customWidth="1"/>
    <col min="2851" max="2851" width="8.5703125" customWidth="1"/>
    <col min="2852" max="2852" width="8.85546875" customWidth="1"/>
    <col min="2853" max="2853" width="8.28515625" customWidth="1"/>
    <col min="2854" max="2854" width="9.5703125" customWidth="1"/>
    <col min="2855" max="2855" width="32.42578125" customWidth="1"/>
    <col min="2856" max="2856" width="9.28515625" bestFit="1" customWidth="1"/>
    <col min="3090" max="3090" width="20.140625" bestFit="1" customWidth="1"/>
    <col min="3091" max="3091" width="8.5703125" bestFit="1" customWidth="1"/>
    <col min="3092" max="3092" width="14.42578125" bestFit="1" customWidth="1"/>
    <col min="3093" max="3093" width="2.5703125" customWidth="1"/>
    <col min="3094" max="3094" width="10.85546875" customWidth="1"/>
    <col min="3095" max="3095" width="11" customWidth="1"/>
    <col min="3096" max="3099" width="11.5703125" bestFit="1" customWidth="1"/>
    <col min="3100" max="3100" width="7.5703125" bestFit="1" customWidth="1"/>
    <col min="3101" max="3101" width="11.85546875" customWidth="1"/>
    <col min="3103" max="3103" width="10" customWidth="1"/>
    <col min="3104" max="3104" width="9" customWidth="1"/>
    <col min="3105" max="3105" width="10.140625" customWidth="1"/>
    <col min="3106" max="3106" width="9" customWidth="1"/>
    <col min="3107" max="3107" width="8.5703125" customWidth="1"/>
    <col min="3108" max="3108" width="8.85546875" customWidth="1"/>
    <col min="3109" max="3109" width="8.28515625" customWidth="1"/>
    <col min="3110" max="3110" width="9.5703125" customWidth="1"/>
    <col min="3111" max="3111" width="32.42578125" customWidth="1"/>
    <col min="3112" max="3112" width="9.28515625" bestFit="1" customWidth="1"/>
    <col min="3346" max="3346" width="20.140625" bestFit="1" customWidth="1"/>
    <col min="3347" max="3347" width="8.5703125" bestFit="1" customWidth="1"/>
    <col min="3348" max="3348" width="14.42578125" bestFit="1" customWidth="1"/>
    <col min="3349" max="3349" width="2.5703125" customWidth="1"/>
    <col min="3350" max="3350" width="10.85546875" customWidth="1"/>
    <col min="3351" max="3351" width="11" customWidth="1"/>
    <col min="3352" max="3355" width="11.5703125" bestFit="1" customWidth="1"/>
    <col min="3356" max="3356" width="7.5703125" bestFit="1" customWidth="1"/>
    <col min="3357" max="3357" width="11.85546875" customWidth="1"/>
    <col min="3359" max="3359" width="10" customWidth="1"/>
    <col min="3360" max="3360" width="9" customWidth="1"/>
    <col min="3361" max="3361" width="10.140625" customWidth="1"/>
    <col min="3362" max="3362" width="9" customWidth="1"/>
    <col min="3363" max="3363" width="8.5703125" customWidth="1"/>
    <col min="3364" max="3364" width="8.85546875" customWidth="1"/>
    <col min="3365" max="3365" width="8.28515625" customWidth="1"/>
    <col min="3366" max="3366" width="9.5703125" customWidth="1"/>
    <col min="3367" max="3367" width="32.42578125" customWidth="1"/>
    <col min="3368" max="3368" width="9.28515625" bestFit="1" customWidth="1"/>
    <col min="3602" max="3602" width="20.140625" bestFit="1" customWidth="1"/>
    <col min="3603" max="3603" width="8.5703125" bestFit="1" customWidth="1"/>
    <col min="3604" max="3604" width="14.42578125" bestFit="1" customWidth="1"/>
    <col min="3605" max="3605" width="2.5703125" customWidth="1"/>
    <col min="3606" max="3606" width="10.85546875" customWidth="1"/>
    <col min="3607" max="3607" width="11" customWidth="1"/>
    <col min="3608" max="3611" width="11.5703125" bestFit="1" customWidth="1"/>
    <col min="3612" max="3612" width="7.5703125" bestFit="1" customWidth="1"/>
    <col min="3613" max="3613" width="11.85546875" customWidth="1"/>
    <col min="3615" max="3615" width="10" customWidth="1"/>
    <col min="3616" max="3616" width="9" customWidth="1"/>
    <col min="3617" max="3617" width="10.140625" customWidth="1"/>
    <col min="3618" max="3618" width="9" customWidth="1"/>
    <col min="3619" max="3619" width="8.5703125" customWidth="1"/>
    <col min="3620" max="3620" width="8.85546875" customWidth="1"/>
    <col min="3621" max="3621" width="8.28515625" customWidth="1"/>
    <col min="3622" max="3622" width="9.5703125" customWidth="1"/>
    <col min="3623" max="3623" width="32.42578125" customWidth="1"/>
    <col min="3624" max="3624" width="9.28515625" bestFit="1" customWidth="1"/>
    <col min="3858" max="3858" width="20.140625" bestFit="1" customWidth="1"/>
    <col min="3859" max="3859" width="8.5703125" bestFit="1" customWidth="1"/>
    <col min="3860" max="3860" width="14.42578125" bestFit="1" customWidth="1"/>
    <col min="3861" max="3861" width="2.5703125" customWidth="1"/>
    <col min="3862" max="3862" width="10.85546875" customWidth="1"/>
    <col min="3863" max="3863" width="11" customWidth="1"/>
    <col min="3864" max="3867" width="11.5703125" bestFit="1" customWidth="1"/>
    <col min="3868" max="3868" width="7.5703125" bestFit="1" customWidth="1"/>
    <col min="3869" max="3869" width="11.85546875" customWidth="1"/>
    <col min="3871" max="3871" width="10" customWidth="1"/>
    <col min="3872" max="3872" width="9" customWidth="1"/>
    <col min="3873" max="3873" width="10.140625" customWidth="1"/>
    <col min="3874" max="3874" width="9" customWidth="1"/>
    <col min="3875" max="3875" width="8.5703125" customWidth="1"/>
    <col min="3876" max="3876" width="8.85546875" customWidth="1"/>
    <col min="3877" max="3877" width="8.28515625" customWidth="1"/>
    <col min="3878" max="3878" width="9.5703125" customWidth="1"/>
    <col min="3879" max="3879" width="32.42578125" customWidth="1"/>
    <col min="3880" max="3880" width="9.28515625" bestFit="1" customWidth="1"/>
    <col min="4114" max="4114" width="20.140625" bestFit="1" customWidth="1"/>
    <col min="4115" max="4115" width="8.5703125" bestFit="1" customWidth="1"/>
    <col min="4116" max="4116" width="14.42578125" bestFit="1" customWidth="1"/>
    <col min="4117" max="4117" width="2.5703125" customWidth="1"/>
    <col min="4118" max="4118" width="10.85546875" customWidth="1"/>
    <col min="4119" max="4119" width="11" customWidth="1"/>
    <col min="4120" max="4123" width="11.5703125" bestFit="1" customWidth="1"/>
    <col min="4124" max="4124" width="7.5703125" bestFit="1" customWidth="1"/>
    <col min="4125" max="4125" width="11.85546875" customWidth="1"/>
    <col min="4127" max="4127" width="10" customWidth="1"/>
    <col min="4128" max="4128" width="9" customWidth="1"/>
    <col min="4129" max="4129" width="10.140625" customWidth="1"/>
    <col min="4130" max="4130" width="9" customWidth="1"/>
    <col min="4131" max="4131" width="8.5703125" customWidth="1"/>
    <col min="4132" max="4132" width="8.85546875" customWidth="1"/>
    <col min="4133" max="4133" width="8.28515625" customWidth="1"/>
    <col min="4134" max="4134" width="9.5703125" customWidth="1"/>
    <col min="4135" max="4135" width="32.42578125" customWidth="1"/>
    <col min="4136" max="4136" width="9.28515625" bestFit="1" customWidth="1"/>
    <col min="4370" max="4370" width="20.140625" bestFit="1" customWidth="1"/>
    <col min="4371" max="4371" width="8.5703125" bestFit="1" customWidth="1"/>
    <col min="4372" max="4372" width="14.42578125" bestFit="1" customWidth="1"/>
    <col min="4373" max="4373" width="2.5703125" customWidth="1"/>
    <col min="4374" max="4374" width="10.85546875" customWidth="1"/>
    <col min="4375" max="4375" width="11" customWidth="1"/>
    <col min="4376" max="4379" width="11.5703125" bestFit="1" customWidth="1"/>
    <col min="4380" max="4380" width="7.5703125" bestFit="1" customWidth="1"/>
    <col min="4381" max="4381" width="11.85546875" customWidth="1"/>
    <col min="4383" max="4383" width="10" customWidth="1"/>
    <col min="4384" max="4384" width="9" customWidth="1"/>
    <col min="4385" max="4385" width="10.140625" customWidth="1"/>
    <col min="4386" max="4386" width="9" customWidth="1"/>
    <col min="4387" max="4387" width="8.5703125" customWidth="1"/>
    <col min="4388" max="4388" width="8.85546875" customWidth="1"/>
    <col min="4389" max="4389" width="8.28515625" customWidth="1"/>
    <col min="4390" max="4390" width="9.5703125" customWidth="1"/>
    <col min="4391" max="4391" width="32.42578125" customWidth="1"/>
    <col min="4392" max="4392" width="9.28515625" bestFit="1" customWidth="1"/>
    <col min="4626" max="4626" width="20.140625" bestFit="1" customWidth="1"/>
    <col min="4627" max="4627" width="8.5703125" bestFit="1" customWidth="1"/>
    <col min="4628" max="4628" width="14.42578125" bestFit="1" customWidth="1"/>
    <col min="4629" max="4629" width="2.5703125" customWidth="1"/>
    <col min="4630" max="4630" width="10.85546875" customWidth="1"/>
    <col min="4631" max="4631" width="11" customWidth="1"/>
    <col min="4632" max="4635" width="11.5703125" bestFit="1" customWidth="1"/>
    <col min="4636" max="4636" width="7.5703125" bestFit="1" customWidth="1"/>
    <col min="4637" max="4637" width="11.85546875" customWidth="1"/>
    <col min="4639" max="4639" width="10" customWidth="1"/>
    <col min="4640" max="4640" width="9" customWidth="1"/>
    <col min="4641" max="4641" width="10.140625" customWidth="1"/>
    <col min="4642" max="4642" width="9" customWidth="1"/>
    <col min="4643" max="4643" width="8.5703125" customWidth="1"/>
    <col min="4644" max="4644" width="8.85546875" customWidth="1"/>
    <col min="4645" max="4645" width="8.28515625" customWidth="1"/>
    <col min="4646" max="4646" width="9.5703125" customWidth="1"/>
    <col min="4647" max="4647" width="32.42578125" customWidth="1"/>
    <col min="4648" max="4648" width="9.28515625" bestFit="1" customWidth="1"/>
    <col min="4882" max="4882" width="20.140625" bestFit="1" customWidth="1"/>
    <col min="4883" max="4883" width="8.5703125" bestFit="1" customWidth="1"/>
    <col min="4884" max="4884" width="14.42578125" bestFit="1" customWidth="1"/>
    <col min="4885" max="4885" width="2.5703125" customWidth="1"/>
    <col min="4886" max="4886" width="10.85546875" customWidth="1"/>
    <col min="4887" max="4887" width="11" customWidth="1"/>
    <col min="4888" max="4891" width="11.5703125" bestFit="1" customWidth="1"/>
    <col min="4892" max="4892" width="7.5703125" bestFit="1" customWidth="1"/>
    <col min="4893" max="4893" width="11.85546875" customWidth="1"/>
    <col min="4895" max="4895" width="10" customWidth="1"/>
    <col min="4896" max="4896" width="9" customWidth="1"/>
    <col min="4897" max="4897" width="10.140625" customWidth="1"/>
    <col min="4898" max="4898" width="9" customWidth="1"/>
    <col min="4899" max="4899" width="8.5703125" customWidth="1"/>
    <col min="4900" max="4900" width="8.85546875" customWidth="1"/>
    <col min="4901" max="4901" width="8.28515625" customWidth="1"/>
    <col min="4902" max="4902" width="9.5703125" customWidth="1"/>
    <col min="4903" max="4903" width="32.42578125" customWidth="1"/>
    <col min="4904" max="4904" width="9.28515625" bestFit="1" customWidth="1"/>
    <col min="5138" max="5138" width="20.140625" bestFit="1" customWidth="1"/>
    <col min="5139" max="5139" width="8.5703125" bestFit="1" customWidth="1"/>
    <col min="5140" max="5140" width="14.42578125" bestFit="1" customWidth="1"/>
    <col min="5141" max="5141" width="2.5703125" customWidth="1"/>
    <col min="5142" max="5142" width="10.85546875" customWidth="1"/>
    <col min="5143" max="5143" width="11" customWidth="1"/>
    <col min="5144" max="5147" width="11.5703125" bestFit="1" customWidth="1"/>
    <col min="5148" max="5148" width="7.5703125" bestFit="1" customWidth="1"/>
    <col min="5149" max="5149" width="11.85546875" customWidth="1"/>
    <col min="5151" max="5151" width="10" customWidth="1"/>
    <col min="5152" max="5152" width="9" customWidth="1"/>
    <col min="5153" max="5153" width="10.140625" customWidth="1"/>
    <col min="5154" max="5154" width="9" customWidth="1"/>
    <col min="5155" max="5155" width="8.5703125" customWidth="1"/>
    <col min="5156" max="5156" width="8.85546875" customWidth="1"/>
    <col min="5157" max="5157" width="8.28515625" customWidth="1"/>
    <col min="5158" max="5158" width="9.5703125" customWidth="1"/>
    <col min="5159" max="5159" width="32.42578125" customWidth="1"/>
    <col min="5160" max="5160" width="9.28515625" bestFit="1" customWidth="1"/>
    <col min="5394" max="5394" width="20.140625" bestFit="1" customWidth="1"/>
    <col min="5395" max="5395" width="8.5703125" bestFit="1" customWidth="1"/>
    <col min="5396" max="5396" width="14.42578125" bestFit="1" customWidth="1"/>
    <col min="5397" max="5397" width="2.5703125" customWidth="1"/>
    <col min="5398" max="5398" width="10.85546875" customWidth="1"/>
    <col min="5399" max="5399" width="11" customWidth="1"/>
    <col min="5400" max="5403" width="11.5703125" bestFit="1" customWidth="1"/>
    <col min="5404" max="5404" width="7.5703125" bestFit="1" customWidth="1"/>
    <col min="5405" max="5405" width="11.85546875" customWidth="1"/>
    <col min="5407" max="5407" width="10" customWidth="1"/>
    <col min="5408" max="5408" width="9" customWidth="1"/>
    <col min="5409" max="5409" width="10.140625" customWidth="1"/>
    <col min="5410" max="5410" width="9" customWidth="1"/>
    <col min="5411" max="5411" width="8.5703125" customWidth="1"/>
    <col min="5412" max="5412" width="8.85546875" customWidth="1"/>
    <col min="5413" max="5413" width="8.28515625" customWidth="1"/>
    <col min="5414" max="5414" width="9.5703125" customWidth="1"/>
    <col min="5415" max="5415" width="32.42578125" customWidth="1"/>
    <col min="5416" max="5416" width="9.28515625" bestFit="1" customWidth="1"/>
    <col min="5650" max="5650" width="20.140625" bestFit="1" customWidth="1"/>
    <col min="5651" max="5651" width="8.5703125" bestFit="1" customWidth="1"/>
    <col min="5652" max="5652" width="14.42578125" bestFit="1" customWidth="1"/>
    <col min="5653" max="5653" width="2.5703125" customWidth="1"/>
    <col min="5654" max="5654" width="10.85546875" customWidth="1"/>
    <col min="5655" max="5655" width="11" customWidth="1"/>
    <col min="5656" max="5659" width="11.5703125" bestFit="1" customWidth="1"/>
    <col min="5660" max="5660" width="7.5703125" bestFit="1" customWidth="1"/>
    <col min="5661" max="5661" width="11.85546875" customWidth="1"/>
    <col min="5663" max="5663" width="10" customWidth="1"/>
    <col min="5664" max="5664" width="9" customWidth="1"/>
    <col min="5665" max="5665" width="10.140625" customWidth="1"/>
    <col min="5666" max="5666" width="9" customWidth="1"/>
    <col min="5667" max="5667" width="8.5703125" customWidth="1"/>
    <col min="5668" max="5668" width="8.85546875" customWidth="1"/>
    <col min="5669" max="5669" width="8.28515625" customWidth="1"/>
    <col min="5670" max="5670" width="9.5703125" customWidth="1"/>
    <col min="5671" max="5671" width="32.42578125" customWidth="1"/>
    <col min="5672" max="5672" width="9.28515625" bestFit="1" customWidth="1"/>
    <col min="5906" max="5906" width="20.140625" bestFit="1" customWidth="1"/>
    <col min="5907" max="5907" width="8.5703125" bestFit="1" customWidth="1"/>
    <col min="5908" max="5908" width="14.42578125" bestFit="1" customWidth="1"/>
    <col min="5909" max="5909" width="2.5703125" customWidth="1"/>
    <col min="5910" max="5910" width="10.85546875" customWidth="1"/>
    <col min="5911" max="5911" width="11" customWidth="1"/>
    <col min="5912" max="5915" width="11.5703125" bestFit="1" customWidth="1"/>
    <col min="5916" max="5916" width="7.5703125" bestFit="1" customWidth="1"/>
    <col min="5917" max="5917" width="11.85546875" customWidth="1"/>
    <col min="5919" max="5919" width="10" customWidth="1"/>
    <col min="5920" max="5920" width="9" customWidth="1"/>
    <col min="5921" max="5921" width="10.140625" customWidth="1"/>
    <col min="5922" max="5922" width="9" customWidth="1"/>
    <col min="5923" max="5923" width="8.5703125" customWidth="1"/>
    <col min="5924" max="5924" width="8.85546875" customWidth="1"/>
    <col min="5925" max="5925" width="8.28515625" customWidth="1"/>
    <col min="5926" max="5926" width="9.5703125" customWidth="1"/>
    <col min="5927" max="5927" width="32.42578125" customWidth="1"/>
    <col min="5928" max="5928" width="9.28515625" bestFit="1" customWidth="1"/>
    <col min="6162" max="6162" width="20.140625" bestFit="1" customWidth="1"/>
    <col min="6163" max="6163" width="8.5703125" bestFit="1" customWidth="1"/>
    <col min="6164" max="6164" width="14.42578125" bestFit="1" customWidth="1"/>
    <col min="6165" max="6165" width="2.5703125" customWidth="1"/>
    <col min="6166" max="6166" width="10.85546875" customWidth="1"/>
    <col min="6167" max="6167" width="11" customWidth="1"/>
    <col min="6168" max="6171" width="11.5703125" bestFit="1" customWidth="1"/>
    <col min="6172" max="6172" width="7.5703125" bestFit="1" customWidth="1"/>
    <col min="6173" max="6173" width="11.85546875" customWidth="1"/>
    <col min="6175" max="6175" width="10" customWidth="1"/>
    <col min="6176" max="6176" width="9" customWidth="1"/>
    <col min="6177" max="6177" width="10.140625" customWidth="1"/>
    <col min="6178" max="6178" width="9" customWidth="1"/>
    <col min="6179" max="6179" width="8.5703125" customWidth="1"/>
    <col min="6180" max="6180" width="8.85546875" customWidth="1"/>
    <col min="6181" max="6181" width="8.28515625" customWidth="1"/>
    <col min="6182" max="6182" width="9.5703125" customWidth="1"/>
    <col min="6183" max="6183" width="32.42578125" customWidth="1"/>
    <col min="6184" max="6184" width="9.28515625" bestFit="1" customWidth="1"/>
    <col min="6418" max="6418" width="20.140625" bestFit="1" customWidth="1"/>
    <col min="6419" max="6419" width="8.5703125" bestFit="1" customWidth="1"/>
    <col min="6420" max="6420" width="14.42578125" bestFit="1" customWidth="1"/>
    <col min="6421" max="6421" width="2.5703125" customWidth="1"/>
    <col min="6422" max="6422" width="10.85546875" customWidth="1"/>
    <col min="6423" max="6423" width="11" customWidth="1"/>
    <col min="6424" max="6427" width="11.5703125" bestFit="1" customWidth="1"/>
    <col min="6428" max="6428" width="7.5703125" bestFit="1" customWidth="1"/>
    <col min="6429" max="6429" width="11.85546875" customWidth="1"/>
    <col min="6431" max="6431" width="10" customWidth="1"/>
    <col min="6432" max="6432" width="9" customWidth="1"/>
    <col min="6433" max="6433" width="10.140625" customWidth="1"/>
    <col min="6434" max="6434" width="9" customWidth="1"/>
    <col min="6435" max="6435" width="8.5703125" customWidth="1"/>
    <col min="6436" max="6436" width="8.85546875" customWidth="1"/>
    <col min="6437" max="6437" width="8.28515625" customWidth="1"/>
    <col min="6438" max="6438" width="9.5703125" customWidth="1"/>
    <col min="6439" max="6439" width="32.42578125" customWidth="1"/>
    <col min="6440" max="6440" width="9.28515625" bestFit="1" customWidth="1"/>
    <col min="6674" max="6674" width="20.140625" bestFit="1" customWidth="1"/>
    <col min="6675" max="6675" width="8.5703125" bestFit="1" customWidth="1"/>
    <col min="6676" max="6676" width="14.42578125" bestFit="1" customWidth="1"/>
    <col min="6677" max="6677" width="2.5703125" customWidth="1"/>
    <col min="6678" max="6678" width="10.85546875" customWidth="1"/>
    <col min="6679" max="6679" width="11" customWidth="1"/>
    <col min="6680" max="6683" width="11.5703125" bestFit="1" customWidth="1"/>
    <col min="6684" max="6684" width="7.5703125" bestFit="1" customWidth="1"/>
    <col min="6685" max="6685" width="11.85546875" customWidth="1"/>
    <col min="6687" max="6687" width="10" customWidth="1"/>
    <col min="6688" max="6688" width="9" customWidth="1"/>
    <col min="6689" max="6689" width="10.140625" customWidth="1"/>
    <col min="6690" max="6690" width="9" customWidth="1"/>
    <col min="6691" max="6691" width="8.5703125" customWidth="1"/>
    <col min="6692" max="6692" width="8.85546875" customWidth="1"/>
    <col min="6693" max="6693" width="8.28515625" customWidth="1"/>
    <col min="6694" max="6694" width="9.5703125" customWidth="1"/>
    <col min="6695" max="6695" width="32.42578125" customWidth="1"/>
    <col min="6696" max="6696" width="9.28515625" bestFit="1" customWidth="1"/>
    <col min="6930" max="6930" width="20.140625" bestFit="1" customWidth="1"/>
    <col min="6931" max="6931" width="8.5703125" bestFit="1" customWidth="1"/>
    <col min="6932" max="6932" width="14.42578125" bestFit="1" customWidth="1"/>
    <col min="6933" max="6933" width="2.5703125" customWidth="1"/>
    <col min="6934" max="6934" width="10.85546875" customWidth="1"/>
    <col min="6935" max="6935" width="11" customWidth="1"/>
    <col min="6936" max="6939" width="11.5703125" bestFit="1" customWidth="1"/>
    <col min="6940" max="6940" width="7.5703125" bestFit="1" customWidth="1"/>
    <col min="6941" max="6941" width="11.85546875" customWidth="1"/>
    <col min="6943" max="6943" width="10" customWidth="1"/>
    <col min="6944" max="6944" width="9" customWidth="1"/>
    <col min="6945" max="6945" width="10.140625" customWidth="1"/>
    <col min="6946" max="6946" width="9" customWidth="1"/>
    <col min="6947" max="6947" width="8.5703125" customWidth="1"/>
    <col min="6948" max="6948" width="8.85546875" customWidth="1"/>
    <col min="6949" max="6949" width="8.28515625" customWidth="1"/>
    <col min="6950" max="6950" width="9.5703125" customWidth="1"/>
    <col min="6951" max="6951" width="32.42578125" customWidth="1"/>
    <col min="6952" max="6952" width="9.28515625" bestFit="1" customWidth="1"/>
    <col min="7186" max="7186" width="20.140625" bestFit="1" customWidth="1"/>
    <col min="7187" max="7187" width="8.5703125" bestFit="1" customWidth="1"/>
    <col min="7188" max="7188" width="14.42578125" bestFit="1" customWidth="1"/>
    <col min="7189" max="7189" width="2.5703125" customWidth="1"/>
    <col min="7190" max="7190" width="10.85546875" customWidth="1"/>
    <col min="7191" max="7191" width="11" customWidth="1"/>
    <col min="7192" max="7195" width="11.5703125" bestFit="1" customWidth="1"/>
    <col min="7196" max="7196" width="7.5703125" bestFit="1" customWidth="1"/>
    <col min="7197" max="7197" width="11.85546875" customWidth="1"/>
    <col min="7199" max="7199" width="10" customWidth="1"/>
    <col min="7200" max="7200" width="9" customWidth="1"/>
    <col min="7201" max="7201" width="10.140625" customWidth="1"/>
    <col min="7202" max="7202" width="9" customWidth="1"/>
    <col min="7203" max="7203" width="8.5703125" customWidth="1"/>
    <col min="7204" max="7204" width="8.85546875" customWidth="1"/>
    <col min="7205" max="7205" width="8.28515625" customWidth="1"/>
    <col min="7206" max="7206" width="9.5703125" customWidth="1"/>
    <col min="7207" max="7207" width="32.42578125" customWidth="1"/>
    <col min="7208" max="7208" width="9.28515625" bestFit="1" customWidth="1"/>
    <col min="7442" max="7442" width="20.140625" bestFit="1" customWidth="1"/>
    <col min="7443" max="7443" width="8.5703125" bestFit="1" customWidth="1"/>
    <col min="7444" max="7444" width="14.42578125" bestFit="1" customWidth="1"/>
    <col min="7445" max="7445" width="2.5703125" customWidth="1"/>
    <col min="7446" max="7446" width="10.85546875" customWidth="1"/>
    <col min="7447" max="7447" width="11" customWidth="1"/>
    <col min="7448" max="7451" width="11.5703125" bestFit="1" customWidth="1"/>
    <col min="7452" max="7452" width="7.5703125" bestFit="1" customWidth="1"/>
    <col min="7453" max="7453" width="11.85546875" customWidth="1"/>
    <col min="7455" max="7455" width="10" customWidth="1"/>
    <col min="7456" max="7456" width="9" customWidth="1"/>
    <col min="7457" max="7457" width="10.140625" customWidth="1"/>
    <col min="7458" max="7458" width="9" customWidth="1"/>
    <col min="7459" max="7459" width="8.5703125" customWidth="1"/>
    <col min="7460" max="7460" width="8.85546875" customWidth="1"/>
    <col min="7461" max="7461" width="8.28515625" customWidth="1"/>
    <col min="7462" max="7462" width="9.5703125" customWidth="1"/>
    <col min="7463" max="7463" width="32.42578125" customWidth="1"/>
    <col min="7464" max="7464" width="9.28515625" bestFit="1" customWidth="1"/>
    <col min="7698" max="7698" width="20.140625" bestFit="1" customWidth="1"/>
    <col min="7699" max="7699" width="8.5703125" bestFit="1" customWidth="1"/>
    <col min="7700" max="7700" width="14.42578125" bestFit="1" customWidth="1"/>
    <col min="7701" max="7701" width="2.5703125" customWidth="1"/>
    <col min="7702" max="7702" width="10.85546875" customWidth="1"/>
    <col min="7703" max="7703" width="11" customWidth="1"/>
    <col min="7704" max="7707" width="11.5703125" bestFit="1" customWidth="1"/>
    <col min="7708" max="7708" width="7.5703125" bestFit="1" customWidth="1"/>
    <col min="7709" max="7709" width="11.85546875" customWidth="1"/>
    <col min="7711" max="7711" width="10" customWidth="1"/>
    <col min="7712" max="7712" width="9" customWidth="1"/>
    <col min="7713" max="7713" width="10.140625" customWidth="1"/>
    <col min="7714" max="7714" width="9" customWidth="1"/>
    <col min="7715" max="7715" width="8.5703125" customWidth="1"/>
    <col min="7716" max="7716" width="8.85546875" customWidth="1"/>
    <col min="7717" max="7717" width="8.28515625" customWidth="1"/>
    <col min="7718" max="7718" width="9.5703125" customWidth="1"/>
    <col min="7719" max="7719" width="32.42578125" customWidth="1"/>
    <col min="7720" max="7720" width="9.28515625" bestFit="1" customWidth="1"/>
    <col min="7954" max="7954" width="20.140625" bestFit="1" customWidth="1"/>
    <col min="7955" max="7955" width="8.5703125" bestFit="1" customWidth="1"/>
    <col min="7956" max="7956" width="14.42578125" bestFit="1" customWidth="1"/>
    <col min="7957" max="7957" width="2.5703125" customWidth="1"/>
    <col min="7958" max="7958" width="10.85546875" customWidth="1"/>
    <col min="7959" max="7959" width="11" customWidth="1"/>
    <col min="7960" max="7963" width="11.5703125" bestFit="1" customWidth="1"/>
    <col min="7964" max="7964" width="7.5703125" bestFit="1" customWidth="1"/>
    <col min="7965" max="7965" width="11.85546875" customWidth="1"/>
    <col min="7967" max="7967" width="10" customWidth="1"/>
    <col min="7968" max="7968" width="9" customWidth="1"/>
    <col min="7969" max="7969" width="10.140625" customWidth="1"/>
    <col min="7970" max="7970" width="9" customWidth="1"/>
    <col min="7971" max="7971" width="8.5703125" customWidth="1"/>
    <col min="7972" max="7972" width="8.85546875" customWidth="1"/>
    <col min="7973" max="7973" width="8.28515625" customWidth="1"/>
    <col min="7974" max="7974" width="9.5703125" customWidth="1"/>
    <col min="7975" max="7975" width="32.42578125" customWidth="1"/>
    <col min="7976" max="7976" width="9.28515625" bestFit="1" customWidth="1"/>
    <col min="8210" max="8210" width="20.140625" bestFit="1" customWidth="1"/>
    <col min="8211" max="8211" width="8.5703125" bestFit="1" customWidth="1"/>
    <col min="8212" max="8212" width="14.42578125" bestFit="1" customWidth="1"/>
    <col min="8213" max="8213" width="2.5703125" customWidth="1"/>
    <col min="8214" max="8214" width="10.85546875" customWidth="1"/>
    <col min="8215" max="8215" width="11" customWidth="1"/>
    <col min="8216" max="8219" width="11.5703125" bestFit="1" customWidth="1"/>
    <col min="8220" max="8220" width="7.5703125" bestFit="1" customWidth="1"/>
    <col min="8221" max="8221" width="11.85546875" customWidth="1"/>
    <col min="8223" max="8223" width="10" customWidth="1"/>
    <col min="8224" max="8224" width="9" customWidth="1"/>
    <col min="8225" max="8225" width="10.140625" customWidth="1"/>
    <col min="8226" max="8226" width="9" customWidth="1"/>
    <col min="8227" max="8227" width="8.5703125" customWidth="1"/>
    <col min="8228" max="8228" width="8.85546875" customWidth="1"/>
    <col min="8229" max="8229" width="8.28515625" customWidth="1"/>
    <col min="8230" max="8230" width="9.5703125" customWidth="1"/>
    <col min="8231" max="8231" width="32.42578125" customWidth="1"/>
    <col min="8232" max="8232" width="9.28515625" bestFit="1" customWidth="1"/>
    <col min="8466" max="8466" width="20.140625" bestFit="1" customWidth="1"/>
    <col min="8467" max="8467" width="8.5703125" bestFit="1" customWidth="1"/>
    <col min="8468" max="8468" width="14.42578125" bestFit="1" customWidth="1"/>
    <col min="8469" max="8469" width="2.5703125" customWidth="1"/>
    <col min="8470" max="8470" width="10.85546875" customWidth="1"/>
    <col min="8471" max="8471" width="11" customWidth="1"/>
    <col min="8472" max="8475" width="11.5703125" bestFit="1" customWidth="1"/>
    <col min="8476" max="8476" width="7.5703125" bestFit="1" customWidth="1"/>
    <col min="8477" max="8477" width="11.85546875" customWidth="1"/>
    <col min="8479" max="8479" width="10" customWidth="1"/>
    <col min="8480" max="8480" width="9" customWidth="1"/>
    <col min="8481" max="8481" width="10.140625" customWidth="1"/>
    <col min="8482" max="8482" width="9" customWidth="1"/>
    <col min="8483" max="8483" width="8.5703125" customWidth="1"/>
    <col min="8484" max="8484" width="8.85546875" customWidth="1"/>
    <col min="8485" max="8485" width="8.28515625" customWidth="1"/>
    <col min="8486" max="8486" width="9.5703125" customWidth="1"/>
    <col min="8487" max="8487" width="32.42578125" customWidth="1"/>
    <col min="8488" max="8488" width="9.28515625" bestFit="1" customWidth="1"/>
    <col min="8722" max="8722" width="20.140625" bestFit="1" customWidth="1"/>
    <col min="8723" max="8723" width="8.5703125" bestFit="1" customWidth="1"/>
    <col min="8724" max="8724" width="14.42578125" bestFit="1" customWidth="1"/>
    <col min="8725" max="8725" width="2.5703125" customWidth="1"/>
    <col min="8726" max="8726" width="10.85546875" customWidth="1"/>
    <col min="8727" max="8727" width="11" customWidth="1"/>
    <col min="8728" max="8731" width="11.5703125" bestFit="1" customWidth="1"/>
    <col min="8732" max="8732" width="7.5703125" bestFit="1" customWidth="1"/>
    <col min="8733" max="8733" width="11.85546875" customWidth="1"/>
    <col min="8735" max="8735" width="10" customWidth="1"/>
    <col min="8736" max="8736" width="9" customWidth="1"/>
    <col min="8737" max="8737" width="10.140625" customWidth="1"/>
    <col min="8738" max="8738" width="9" customWidth="1"/>
    <col min="8739" max="8739" width="8.5703125" customWidth="1"/>
    <col min="8740" max="8740" width="8.85546875" customWidth="1"/>
    <col min="8741" max="8741" width="8.28515625" customWidth="1"/>
    <col min="8742" max="8742" width="9.5703125" customWidth="1"/>
    <col min="8743" max="8743" width="32.42578125" customWidth="1"/>
    <col min="8744" max="8744" width="9.28515625" bestFit="1" customWidth="1"/>
    <col min="8978" max="8978" width="20.140625" bestFit="1" customWidth="1"/>
    <col min="8979" max="8979" width="8.5703125" bestFit="1" customWidth="1"/>
    <col min="8980" max="8980" width="14.42578125" bestFit="1" customWidth="1"/>
    <col min="8981" max="8981" width="2.5703125" customWidth="1"/>
    <col min="8982" max="8982" width="10.85546875" customWidth="1"/>
    <col min="8983" max="8983" width="11" customWidth="1"/>
    <col min="8984" max="8987" width="11.5703125" bestFit="1" customWidth="1"/>
    <col min="8988" max="8988" width="7.5703125" bestFit="1" customWidth="1"/>
    <col min="8989" max="8989" width="11.85546875" customWidth="1"/>
    <col min="8991" max="8991" width="10" customWidth="1"/>
    <col min="8992" max="8992" width="9" customWidth="1"/>
    <col min="8993" max="8993" width="10.140625" customWidth="1"/>
    <col min="8994" max="8994" width="9" customWidth="1"/>
    <col min="8995" max="8995" width="8.5703125" customWidth="1"/>
    <col min="8996" max="8996" width="8.85546875" customWidth="1"/>
    <col min="8997" max="8997" width="8.28515625" customWidth="1"/>
    <col min="8998" max="8998" width="9.5703125" customWidth="1"/>
    <col min="8999" max="8999" width="32.42578125" customWidth="1"/>
    <col min="9000" max="9000" width="9.28515625" bestFit="1" customWidth="1"/>
    <col min="9234" max="9234" width="20.140625" bestFit="1" customWidth="1"/>
    <col min="9235" max="9235" width="8.5703125" bestFit="1" customWidth="1"/>
    <col min="9236" max="9236" width="14.42578125" bestFit="1" customWidth="1"/>
    <col min="9237" max="9237" width="2.5703125" customWidth="1"/>
    <col min="9238" max="9238" width="10.85546875" customWidth="1"/>
    <col min="9239" max="9239" width="11" customWidth="1"/>
    <col min="9240" max="9243" width="11.5703125" bestFit="1" customWidth="1"/>
    <col min="9244" max="9244" width="7.5703125" bestFit="1" customWidth="1"/>
    <col min="9245" max="9245" width="11.85546875" customWidth="1"/>
    <col min="9247" max="9247" width="10" customWidth="1"/>
    <col min="9248" max="9248" width="9" customWidth="1"/>
    <col min="9249" max="9249" width="10.140625" customWidth="1"/>
    <col min="9250" max="9250" width="9" customWidth="1"/>
    <col min="9251" max="9251" width="8.5703125" customWidth="1"/>
    <col min="9252" max="9252" width="8.85546875" customWidth="1"/>
    <col min="9253" max="9253" width="8.28515625" customWidth="1"/>
    <col min="9254" max="9254" width="9.5703125" customWidth="1"/>
    <col min="9255" max="9255" width="32.42578125" customWidth="1"/>
    <col min="9256" max="9256" width="9.28515625" bestFit="1" customWidth="1"/>
    <col min="9490" max="9490" width="20.140625" bestFit="1" customWidth="1"/>
    <col min="9491" max="9491" width="8.5703125" bestFit="1" customWidth="1"/>
    <col min="9492" max="9492" width="14.42578125" bestFit="1" customWidth="1"/>
    <col min="9493" max="9493" width="2.5703125" customWidth="1"/>
    <col min="9494" max="9494" width="10.85546875" customWidth="1"/>
    <col min="9495" max="9495" width="11" customWidth="1"/>
    <col min="9496" max="9499" width="11.5703125" bestFit="1" customWidth="1"/>
    <col min="9500" max="9500" width="7.5703125" bestFit="1" customWidth="1"/>
    <col min="9501" max="9501" width="11.85546875" customWidth="1"/>
    <col min="9503" max="9503" width="10" customWidth="1"/>
    <col min="9504" max="9504" width="9" customWidth="1"/>
    <col min="9505" max="9505" width="10.140625" customWidth="1"/>
    <col min="9506" max="9506" width="9" customWidth="1"/>
    <col min="9507" max="9507" width="8.5703125" customWidth="1"/>
    <col min="9508" max="9508" width="8.85546875" customWidth="1"/>
    <col min="9509" max="9509" width="8.28515625" customWidth="1"/>
    <col min="9510" max="9510" width="9.5703125" customWidth="1"/>
    <col min="9511" max="9511" width="32.42578125" customWidth="1"/>
    <col min="9512" max="9512" width="9.28515625" bestFit="1" customWidth="1"/>
    <col min="9746" max="9746" width="20.140625" bestFit="1" customWidth="1"/>
    <col min="9747" max="9747" width="8.5703125" bestFit="1" customWidth="1"/>
    <col min="9748" max="9748" width="14.42578125" bestFit="1" customWidth="1"/>
    <col min="9749" max="9749" width="2.5703125" customWidth="1"/>
    <col min="9750" max="9750" width="10.85546875" customWidth="1"/>
    <col min="9751" max="9751" width="11" customWidth="1"/>
    <col min="9752" max="9755" width="11.5703125" bestFit="1" customWidth="1"/>
    <col min="9756" max="9756" width="7.5703125" bestFit="1" customWidth="1"/>
    <col min="9757" max="9757" width="11.85546875" customWidth="1"/>
    <col min="9759" max="9759" width="10" customWidth="1"/>
    <col min="9760" max="9760" width="9" customWidth="1"/>
    <col min="9761" max="9761" width="10.140625" customWidth="1"/>
    <col min="9762" max="9762" width="9" customWidth="1"/>
    <col min="9763" max="9763" width="8.5703125" customWidth="1"/>
    <col min="9764" max="9764" width="8.85546875" customWidth="1"/>
    <col min="9765" max="9765" width="8.28515625" customWidth="1"/>
    <col min="9766" max="9766" width="9.5703125" customWidth="1"/>
    <col min="9767" max="9767" width="32.42578125" customWidth="1"/>
    <col min="9768" max="9768" width="9.28515625" bestFit="1" customWidth="1"/>
    <col min="10002" max="10002" width="20.140625" bestFit="1" customWidth="1"/>
    <col min="10003" max="10003" width="8.5703125" bestFit="1" customWidth="1"/>
    <col min="10004" max="10004" width="14.42578125" bestFit="1" customWidth="1"/>
    <col min="10005" max="10005" width="2.5703125" customWidth="1"/>
    <col min="10006" max="10006" width="10.85546875" customWidth="1"/>
    <col min="10007" max="10007" width="11" customWidth="1"/>
    <col min="10008" max="10011" width="11.5703125" bestFit="1" customWidth="1"/>
    <col min="10012" max="10012" width="7.5703125" bestFit="1" customWidth="1"/>
    <col min="10013" max="10013" width="11.85546875" customWidth="1"/>
    <col min="10015" max="10015" width="10" customWidth="1"/>
    <col min="10016" max="10016" width="9" customWidth="1"/>
    <col min="10017" max="10017" width="10.140625" customWidth="1"/>
    <col min="10018" max="10018" width="9" customWidth="1"/>
    <col min="10019" max="10019" width="8.5703125" customWidth="1"/>
    <col min="10020" max="10020" width="8.85546875" customWidth="1"/>
    <col min="10021" max="10021" width="8.28515625" customWidth="1"/>
    <col min="10022" max="10022" width="9.5703125" customWidth="1"/>
    <col min="10023" max="10023" width="32.42578125" customWidth="1"/>
    <col min="10024" max="10024" width="9.28515625" bestFit="1" customWidth="1"/>
    <col min="10258" max="10258" width="20.140625" bestFit="1" customWidth="1"/>
    <col min="10259" max="10259" width="8.5703125" bestFit="1" customWidth="1"/>
    <col min="10260" max="10260" width="14.42578125" bestFit="1" customWidth="1"/>
    <col min="10261" max="10261" width="2.5703125" customWidth="1"/>
    <col min="10262" max="10262" width="10.85546875" customWidth="1"/>
    <col min="10263" max="10263" width="11" customWidth="1"/>
    <col min="10264" max="10267" width="11.5703125" bestFit="1" customWidth="1"/>
    <col min="10268" max="10268" width="7.5703125" bestFit="1" customWidth="1"/>
    <col min="10269" max="10269" width="11.85546875" customWidth="1"/>
    <col min="10271" max="10271" width="10" customWidth="1"/>
    <col min="10272" max="10272" width="9" customWidth="1"/>
    <col min="10273" max="10273" width="10.140625" customWidth="1"/>
    <col min="10274" max="10274" width="9" customWidth="1"/>
    <col min="10275" max="10275" width="8.5703125" customWidth="1"/>
    <col min="10276" max="10276" width="8.85546875" customWidth="1"/>
    <col min="10277" max="10277" width="8.28515625" customWidth="1"/>
    <col min="10278" max="10278" width="9.5703125" customWidth="1"/>
    <col min="10279" max="10279" width="32.42578125" customWidth="1"/>
    <col min="10280" max="10280" width="9.28515625" bestFit="1" customWidth="1"/>
    <col min="10514" max="10514" width="20.140625" bestFit="1" customWidth="1"/>
    <col min="10515" max="10515" width="8.5703125" bestFit="1" customWidth="1"/>
    <col min="10516" max="10516" width="14.42578125" bestFit="1" customWidth="1"/>
    <col min="10517" max="10517" width="2.5703125" customWidth="1"/>
    <col min="10518" max="10518" width="10.85546875" customWidth="1"/>
    <col min="10519" max="10519" width="11" customWidth="1"/>
    <col min="10520" max="10523" width="11.5703125" bestFit="1" customWidth="1"/>
    <col min="10524" max="10524" width="7.5703125" bestFit="1" customWidth="1"/>
    <col min="10525" max="10525" width="11.85546875" customWidth="1"/>
    <col min="10527" max="10527" width="10" customWidth="1"/>
    <col min="10528" max="10528" width="9" customWidth="1"/>
    <col min="10529" max="10529" width="10.140625" customWidth="1"/>
    <col min="10530" max="10530" width="9" customWidth="1"/>
    <col min="10531" max="10531" width="8.5703125" customWidth="1"/>
    <col min="10532" max="10532" width="8.85546875" customWidth="1"/>
    <col min="10533" max="10533" width="8.28515625" customWidth="1"/>
    <col min="10534" max="10534" width="9.5703125" customWidth="1"/>
    <col min="10535" max="10535" width="32.42578125" customWidth="1"/>
    <col min="10536" max="10536" width="9.28515625" bestFit="1" customWidth="1"/>
    <col min="10770" max="10770" width="20.140625" bestFit="1" customWidth="1"/>
    <col min="10771" max="10771" width="8.5703125" bestFit="1" customWidth="1"/>
    <col min="10772" max="10772" width="14.42578125" bestFit="1" customWidth="1"/>
    <col min="10773" max="10773" width="2.5703125" customWidth="1"/>
    <col min="10774" max="10774" width="10.85546875" customWidth="1"/>
    <col min="10775" max="10775" width="11" customWidth="1"/>
    <col min="10776" max="10779" width="11.5703125" bestFit="1" customWidth="1"/>
    <col min="10780" max="10780" width="7.5703125" bestFit="1" customWidth="1"/>
    <col min="10781" max="10781" width="11.85546875" customWidth="1"/>
    <col min="10783" max="10783" width="10" customWidth="1"/>
    <col min="10784" max="10784" width="9" customWidth="1"/>
    <col min="10785" max="10785" width="10.140625" customWidth="1"/>
    <col min="10786" max="10786" width="9" customWidth="1"/>
    <col min="10787" max="10787" width="8.5703125" customWidth="1"/>
    <col min="10788" max="10788" width="8.85546875" customWidth="1"/>
    <col min="10789" max="10789" width="8.28515625" customWidth="1"/>
    <col min="10790" max="10790" width="9.5703125" customWidth="1"/>
    <col min="10791" max="10791" width="32.42578125" customWidth="1"/>
    <col min="10792" max="10792" width="9.28515625" bestFit="1" customWidth="1"/>
    <col min="11026" max="11026" width="20.140625" bestFit="1" customWidth="1"/>
    <col min="11027" max="11027" width="8.5703125" bestFit="1" customWidth="1"/>
    <col min="11028" max="11028" width="14.42578125" bestFit="1" customWidth="1"/>
    <col min="11029" max="11029" width="2.5703125" customWidth="1"/>
    <col min="11030" max="11030" width="10.85546875" customWidth="1"/>
    <col min="11031" max="11031" width="11" customWidth="1"/>
    <col min="11032" max="11035" width="11.5703125" bestFit="1" customWidth="1"/>
    <col min="11036" max="11036" width="7.5703125" bestFit="1" customWidth="1"/>
    <col min="11037" max="11037" width="11.85546875" customWidth="1"/>
    <col min="11039" max="11039" width="10" customWidth="1"/>
    <col min="11040" max="11040" width="9" customWidth="1"/>
    <col min="11041" max="11041" width="10.140625" customWidth="1"/>
    <col min="11042" max="11042" width="9" customWidth="1"/>
    <col min="11043" max="11043" width="8.5703125" customWidth="1"/>
    <col min="11044" max="11044" width="8.85546875" customWidth="1"/>
    <col min="11045" max="11045" width="8.28515625" customWidth="1"/>
    <col min="11046" max="11046" width="9.5703125" customWidth="1"/>
    <col min="11047" max="11047" width="32.42578125" customWidth="1"/>
    <col min="11048" max="11048" width="9.28515625" bestFit="1" customWidth="1"/>
    <col min="11282" max="11282" width="20.140625" bestFit="1" customWidth="1"/>
    <col min="11283" max="11283" width="8.5703125" bestFit="1" customWidth="1"/>
    <col min="11284" max="11284" width="14.42578125" bestFit="1" customWidth="1"/>
    <col min="11285" max="11285" width="2.5703125" customWidth="1"/>
    <col min="11286" max="11286" width="10.85546875" customWidth="1"/>
    <col min="11287" max="11287" width="11" customWidth="1"/>
    <col min="11288" max="11291" width="11.5703125" bestFit="1" customWidth="1"/>
    <col min="11292" max="11292" width="7.5703125" bestFit="1" customWidth="1"/>
    <col min="11293" max="11293" width="11.85546875" customWidth="1"/>
    <col min="11295" max="11295" width="10" customWidth="1"/>
    <col min="11296" max="11296" width="9" customWidth="1"/>
    <col min="11297" max="11297" width="10.140625" customWidth="1"/>
    <col min="11298" max="11298" width="9" customWidth="1"/>
    <col min="11299" max="11299" width="8.5703125" customWidth="1"/>
    <col min="11300" max="11300" width="8.85546875" customWidth="1"/>
    <col min="11301" max="11301" width="8.28515625" customWidth="1"/>
    <col min="11302" max="11302" width="9.5703125" customWidth="1"/>
    <col min="11303" max="11303" width="32.42578125" customWidth="1"/>
    <col min="11304" max="11304" width="9.28515625" bestFit="1" customWidth="1"/>
    <col min="11538" max="11538" width="20.140625" bestFit="1" customWidth="1"/>
    <col min="11539" max="11539" width="8.5703125" bestFit="1" customWidth="1"/>
    <col min="11540" max="11540" width="14.42578125" bestFit="1" customWidth="1"/>
    <col min="11541" max="11541" width="2.5703125" customWidth="1"/>
    <col min="11542" max="11542" width="10.85546875" customWidth="1"/>
    <col min="11543" max="11543" width="11" customWidth="1"/>
    <col min="11544" max="11547" width="11.5703125" bestFit="1" customWidth="1"/>
    <col min="11548" max="11548" width="7.5703125" bestFit="1" customWidth="1"/>
    <col min="11549" max="11549" width="11.85546875" customWidth="1"/>
    <col min="11551" max="11551" width="10" customWidth="1"/>
    <col min="11552" max="11552" width="9" customWidth="1"/>
    <col min="11553" max="11553" width="10.140625" customWidth="1"/>
    <col min="11554" max="11554" width="9" customWidth="1"/>
    <col min="11555" max="11555" width="8.5703125" customWidth="1"/>
    <col min="11556" max="11556" width="8.85546875" customWidth="1"/>
    <col min="11557" max="11557" width="8.28515625" customWidth="1"/>
    <col min="11558" max="11558" width="9.5703125" customWidth="1"/>
    <col min="11559" max="11559" width="32.42578125" customWidth="1"/>
    <col min="11560" max="11560" width="9.28515625" bestFit="1" customWidth="1"/>
    <col min="11794" max="11794" width="20.140625" bestFit="1" customWidth="1"/>
    <col min="11795" max="11795" width="8.5703125" bestFit="1" customWidth="1"/>
    <col min="11796" max="11796" width="14.42578125" bestFit="1" customWidth="1"/>
    <col min="11797" max="11797" width="2.5703125" customWidth="1"/>
    <col min="11798" max="11798" width="10.85546875" customWidth="1"/>
    <col min="11799" max="11799" width="11" customWidth="1"/>
    <col min="11800" max="11803" width="11.5703125" bestFit="1" customWidth="1"/>
    <col min="11804" max="11804" width="7.5703125" bestFit="1" customWidth="1"/>
    <col min="11805" max="11805" width="11.85546875" customWidth="1"/>
    <col min="11807" max="11807" width="10" customWidth="1"/>
    <col min="11808" max="11808" width="9" customWidth="1"/>
    <col min="11809" max="11809" width="10.140625" customWidth="1"/>
    <col min="11810" max="11810" width="9" customWidth="1"/>
    <col min="11811" max="11811" width="8.5703125" customWidth="1"/>
    <col min="11812" max="11812" width="8.85546875" customWidth="1"/>
    <col min="11813" max="11813" width="8.28515625" customWidth="1"/>
    <col min="11814" max="11814" width="9.5703125" customWidth="1"/>
    <col min="11815" max="11815" width="32.42578125" customWidth="1"/>
    <col min="11816" max="11816" width="9.28515625" bestFit="1" customWidth="1"/>
    <col min="12050" max="12050" width="20.140625" bestFit="1" customWidth="1"/>
    <col min="12051" max="12051" width="8.5703125" bestFit="1" customWidth="1"/>
    <col min="12052" max="12052" width="14.42578125" bestFit="1" customWidth="1"/>
    <col min="12053" max="12053" width="2.5703125" customWidth="1"/>
    <col min="12054" max="12054" width="10.85546875" customWidth="1"/>
    <col min="12055" max="12055" width="11" customWidth="1"/>
    <col min="12056" max="12059" width="11.5703125" bestFit="1" customWidth="1"/>
    <col min="12060" max="12060" width="7.5703125" bestFit="1" customWidth="1"/>
    <col min="12061" max="12061" width="11.85546875" customWidth="1"/>
    <col min="12063" max="12063" width="10" customWidth="1"/>
    <col min="12064" max="12064" width="9" customWidth="1"/>
    <col min="12065" max="12065" width="10.140625" customWidth="1"/>
    <col min="12066" max="12066" width="9" customWidth="1"/>
    <col min="12067" max="12067" width="8.5703125" customWidth="1"/>
    <col min="12068" max="12068" width="8.85546875" customWidth="1"/>
    <col min="12069" max="12069" width="8.28515625" customWidth="1"/>
    <col min="12070" max="12070" width="9.5703125" customWidth="1"/>
    <col min="12071" max="12071" width="32.42578125" customWidth="1"/>
    <col min="12072" max="12072" width="9.28515625" bestFit="1" customWidth="1"/>
    <col min="12306" max="12306" width="20.140625" bestFit="1" customWidth="1"/>
    <col min="12307" max="12307" width="8.5703125" bestFit="1" customWidth="1"/>
    <col min="12308" max="12308" width="14.42578125" bestFit="1" customWidth="1"/>
    <col min="12309" max="12309" width="2.5703125" customWidth="1"/>
    <col min="12310" max="12310" width="10.85546875" customWidth="1"/>
    <col min="12311" max="12311" width="11" customWidth="1"/>
    <col min="12312" max="12315" width="11.5703125" bestFit="1" customWidth="1"/>
    <col min="12316" max="12316" width="7.5703125" bestFit="1" customWidth="1"/>
    <col min="12317" max="12317" width="11.85546875" customWidth="1"/>
    <col min="12319" max="12319" width="10" customWidth="1"/>
    <col min="12320" max="12320" width="9" customWidth="1"/>
    <col min="12321" max="12321" width="10.140625" customWidth="1"/>
    <col min="12322" max="12322" width="9" customWidth="1"/>
    <col min="12323" max="12323" width="8.5703125" customWidth="1"/>
    <col min="12324" max="12324" width="8.85546875" customWidth="1"/>
    <col min="12325" max="12325" width="8.28515625" customWidth="1"/>
    <col min="12326" max="12326" width="9.5703125" customWidth="1"/>
    <col min="12327" max="12327" width="32.42578125" customWidth="1"/>
    <col min="12328" max="12328" width="9.28515625" bestFit="1" customWidth="1"/>
    <col min="12562" max="12562" width="20.140625" bestFit="1" customWidth="1"/>
    <col min="12563" max="12563" width="8.5703125" bestFit="1" customWidth="1"/>
    <col min="12564" max="12564" width="14.42578125" bestFit="1" customWidth="1"/>
    <col min="12565" max="12565" width="2.5703125" customWidth="1"/>
    <col min="12566" max="12566" width="10.85546875" customWidth="1"/>
    <col min="12567" max="12567" width="11" customWidth="1"/>
    <col min="12568" max="12571" width="11.5703125" bestFit="1" customWidth="1"/>
    <col min="12572" max="12572" width="7.5703125" bestFit="1" customWidth="1"/>
    <col min="12573" max="12573" width="11.85546875" customWidth="1"/>
    <col min="12575" max="12575" width="10" customWidth="1"/>
    <col min="12576" max="12576" width="9" customWidth="1"/>
    <col min="12577" max="12577" width="10.140625" customWidth="1"/>
    <col min="12578" max="12578" width="9" customWidth="1"/>
    <col min="12579" max="12579" width="8.5703125" customWidth="1"/>
    <col min="12580" max="12580" width="8.85546875" customWidth="1"/>
    <col min="12581" max="12581" width="8.28515625" customWidth="1"/>
    <col min="12582" max="12582" width="9.5703125" customWidth="1"/>
    <col min="12583" max="12583" width="32.42578125" customWidth="1"/>
    <col min="12584" max="12584" width="9.28515625" bestFit="1" customWidth="1"/>
    <col min="12818" max="12818" width="20.140625" bestFit="1" customWidth="1"/>
    <col min="12819" max="12819" width="8.5703125" bestFit="1" customWidth="1"/>
    <col min="12820" max="12820" width="14.42578125" bestFit="1" customWidth="1"/>
    <col min="12821" max="12821" width="2.5703125" customWidth="1"/>
    <col min="12822" max="12822" width="10.85546875" customWidth="1"/>
    <col min="12823" max="12823" width="11" customWidth="1"/>
    <col min="12824" max="12827" width="11.5703125" bestFit="1" customWidth="1"/>
    <col min="12828" max="12828" width="7.5703125" bestFit="1" customWidth="1"/>
    <col min="12829" max="12829" width="11.85546875" customWidth="1"/>
    <col min="12831" max="12831" width="10" customWidth="1"/>
    <col min="12832" max="12832" width="9" customWidth="1"/>
    <col min="12833" max="12833" width="10.140625" customWidth="1"/>
    <col min="12834" max="12834" width="9" customWidth="1"/>
    <col min="12835" max="12835" width="8.5703125" customWidth="1"/>
    <col min="12836" max="12836" width="8.85546875" customWidth="1"/>
    <col min="12837" max="12837" width="8.28515625" customWidth="1"/>
    <col min="12838" max="12838" width="9.5703125" customWidth="1"/>
    <col min="12839" max="12839" width="32.42578125" customWidth="1"/>
    <col min="12840" max="12840" width="9.28515625" bestFit="1" customWidth="1"/>
    <col min="13074" max="13074" width="20.140625" bestFit="1" customWidth="1"/>
    <col min="13075" max="13075" width="8.5703125" bestFit="1" customWidth="1"/>
    <col min="13076" max="13076" width="14.42578125" bestFit="1" customWidth="1"/>
    <col min="13077" max="13077" width="2.5703125" customWidth="1"/>
    <col min="13078" max="13078" width="10.85546875" customWidth="1"/>
    <col min="13079" max="13079" width="11" customWidth="1"/>
    <col min="13080" max="13083" width="11.5703125" bestFit="1" customWidth="1"/>
    <col min="13084" max="13084" width="7.5703125" bestFit="1" customWidth="1"/>
    <col min="13085" max="13085" width="11.85546875" customWidth="1"/>
    <col min="13087" max="13087" width="10" customWidth="1"/>
    <col min="13088" max="13088" width="9" customWidth="1"/>
    <col min="13089" max="13089" width="10.140625" customWidth="1"/>
    <col min="13090" max="13090" width="9" customWidth="1"/>
    <col min="13091" max="13091" width="8.5703125" customWidth="1"/>
    <col min="13092" max="13092" width="8.85546875" customWidth="1"/>
    <col min="13093" max="13093" width="8.28515625" customWidth="1"/>
    <col min="13094" max="13094" width="9.5703125" customWidth="1"/>
    <col min="13095" max="13095" width="32.42578125" customWidth="1"/>
    <col min="13096" max="13096" width="9.28515625" bestFit="1" customWidth="1"/>
    <col min="13330" max="13330" width="20.140625" bestFit="1" customWidth="1"/>
    <col min="13331" max="13331" width="8.5703125" bestFit="1" customWidth="1"/>
    <col min="13332" max="13332" width="14.42578125" bestFit="1" customWidth="1"/>
    <col min="13333" max="13333" width="2.5703125" customWidth="1"/>
    <col min="13334" max="13334" width="10.85546875" customWidth="1"/>
    <col min="13335" max="13335" width="11" customWidth="1"/>
    <col min="13336" max="13339" width="11.5703125" bestFit="1" customWidth="1"/>
    <col min="13340" max="13340" width="7.5703125" bestFit="1" customWidth="1"/>
    <col min="13341" max="13341" width="11.85546875" customWidth="1"/>
    <col min="13343" max="13343" width="10" customWidth="1"/>
    <col min="13344" max="13344" width="9" customWidth="1"/>
    <col min="13345" max="13345" width="10.140625" customWidth="1"/>
    <col min="13346" max="13346" width="9" customWidth="1"/>
    <col min="13347" max="13347" width="8.5703125" customWidth="1"/>
    <col min="13348" max="13348" width="8.85546875" customWidth="1"/>
    <col min="13349" max="13349" width="8.28515625" customWidth="1"/>
    <col min="13350" max="13350" width="9.5703125" customWidth="1"/>
    <col min="13351" max="13351" width="32.42578125" customWidth="1"/>
    <col min="13352" max="13352" width="9.28515625" bestFit="1" customWidth="1"/>
    <col min="13586" max="13586" width="20.140625" bestFit="1" customWidth="1"/>
    <col min="13587" max="13587" width="8.5703125" bestFit="1" customWidth="1"/>
    <col min="13588" max="13588" width="14.42578125" bestFit="1" customWidth="1"/>
    <col min="13589" max="13589" width="2.5703125" customWidth="1"/>
    <col min="13590" max="13590" width="10.85546875" customWidth="1"/>
    <col min="13591" max="13591" width="11" customWidth="1"/>
    <col min="13592" max="13595" width="11.5703125" bestFit="1" customWidth="1"/>
    <col min="13596" max="13596" width="7.5703125" bestFit="1" customWidth="1"/>
    <col min="13597" max="13597" width="11.85546875" customWidth="1"/>
    <col min="13599" max="13599" width="10" customWidth="1"/>
    <col min="13600" max="13600" width="9" customWidth="1"/>
    <col min="13601" max="13601" width="10.140625" customWidth="1"/>
    <col min="13602" max="13602" width="9" customWidth="1"/>
    <col min="13603" max="13603" width="8.5703125" customWidth="1"/>
    <col min="13604" max="13604" width="8.85546875" customWidth="1"/>
    <col min="13605" max="13605" width="8.28515625" customWidth="1"/>
    <col min="13606" max="13606" width="9.5703125" customWidth="1"/>
    <col min="13607" max="13607" width="32.42578125" customWidth="1"/>
    <col min="13608" max="13608" width="9.28515625" bestFit="1" customWidth="1"/>
    <col min="13842" max="13842" width="20.140625" bestFit="1" customWidth="1"/>
    <col min="13843" max="13843" width="8.5703125" bestFit="1" customWidth="1"/>
    <col min="13844" max="13844" width="14.42578125" bestFit="1" customWidth="1"/>
    <col min="13845" max="13845" width="2.5703125" customWidth="1"/>
    <col min="13846" max="13846" width="10.85546875" customWidth="1"/>
    <col min="13847" max="13847" width="11" customWidth="1"/>
    <col min="13848" max="13851" width="11.5703125" bestFit="1" customWidth="1"/>
    <col min="13852" max="13852" width="7.5703125" bestFit="1" customWidth="1"/>
    <col min="13853" max="13853" width="11.85546875" customWidth="1"/>
    <col min="13855" max="13855" width="10" customWidth="1"/>
    <col min="13856" max="13856" width="9" customWidth="1"/>
    <col min="13857" max="13857" width="10.140625" customWidth="1"/>
    <col min="13858" max="13858" width="9" customWidth="1"/>
    <col min="13859" max="13859" width="8.5703125" customWidth="1"/>
    <col min="13860" max="13860" width="8.85546875" customWidth="1"/>
    <col min="13861" max="13861" width="8.28515625" customWidth="1"/>
    <col min="13862" max="13862" width="9.5703125" customWidth="1"/>
    <col min="13863" max="13863" width="32.42578125" customWidth="1"/>
    <col min="13864" max="13864" width="9.28515625" bestFit="1" customWidth="1"/>
    <col min="14098" max="14098" width="20.140625" bestFit="1" customWidth="1"/>
    <col min="14099" max="14099" width="8.5703125" bestFit="1" customWidth="1"/>
    <col min="14100" max="14100" width="14.42578125" bestFit="1" customWidth="1"/>
    <col min="14101" max="14101" width="2.5703125" customWidth="1"/>
    <col min="14102" max="14102" width="10.85546875" customWidth="1"/>
    <col min="14103" max="14103" width="11" customWidth="1"/>
    <col min="14104" max="14107" width="11.5703125" bestFit="1" customWidth="1"/>
    <col min="14108" max="14108" width="7.5703125" bestFit="1" customWidth="1"/>
    <col min="14109" max="14109" width="11.85546875" customWidth="1"/>
    <col min="14111" max="14111" width="10" customWidth="1"/>
    <col min="14112" max="14112" width="9" customWidth="1"/>
    <col min="14113" max="14113" width="10.140625" customWidth="1"/>
    <col min="14114" max="14114" width="9" customWidth="1"/>
    <col min="14115" max="14115" width="8.5703125" customWidth="1"/>
    <col min="14116" max="14116" width="8.85546875" customWidth="1"/>
    <col min="14117" max="14117" width="8.28515625" customWidth="1"/>
    <col min="14118" max="14118" width="9.5703125" customWidth="1"/>
    <col min="14119" max="14119" width="32.42578125" customWidth="1"/>
    <col min="14120" max="14120" width="9.28515625" bestFit="1" customWidth="1"/>
    <col min="14354" max="14354" width="20.140625" bestFit="1" customWidth="1"/>
    <col min="14355" max="14355" width="8.5703125" bestFit="1" customWidth="1"/>
    <col min="14356" max="14356" width="14.42578125" bestFit="1" customWidth="1"/>
    <col min="14357" max="14357" width="2.5703125" customWidth="1"/>
    <col min="14358" max="14358" width="10.85546875" customWidth="1"/>
    <col min="14359" max="14359" width="11" customWidth="1"/>
    <col min="14360" max="14363" width="11.5703125" bestFit="1" customWidth="1"/>
    <col min="14364" max="14364" width="7.5703125" bestFit="1" customWidth="1"/>
    <col min="14365" max="14365" width="11.85546875" customWidth="1"/>
    <col min="14367" max="14367" width="10" customWidth="1"/>
    <col min="14368" max="14368" width="9" customWidth="1"/>
    <col min="14369" max="14369" width="10.140625" customWidth="1"/>
    <col min="14370" max="14370" width="9" customWidth="1"/>
    <col min="14371" max="14371" width="8.5703125" customWidth="1"/>
    <col min="14372" max="14372" width="8.85546875" customWidth="1"/>
    <col min="14373" max="14373" width="8.28515625" customWidth="1"/>
    <col min="14374" max="14374" width="9.5703125" customWidth="1"/>
    <col min="14375" max="14375" width="32.42578125" customWidth="1"/>
    <col min="14376" max="14376" width="9.28515625" bestFit="1" customWidth="1"/>
    <col min="14610" max="14610" width="20.140625" bestFit="1" customWidth="1"/>
    <col min="14611" max="14611" width="8.5703125" bestFit="1" customWidth="1"/>
    <col min="14612" max="14612" width="14.42578125" bestFit="1" customWidth="1"/>
    <col min="14613" max="14613" width="2.5703125" customWidth="1"/>
    <col min="14614" max="14614" width="10.85546875" customWidth="1"/>
    <col min="14615" max="14615" width="11" customWidth="1"/>
    <col min="14616" max="14619" width="11.5703125" bestFit="1" customWidth="1"/>
    <col min="14620" max="14620" width="7.5703125" bestFit="1" customWidth="1"/>
    <col min="14621" max="14621" width="11.85546875" customWidth="1"/>
    <col min="14623" max="14623" width="10" customWidth="1"/>
    <col min="14624" max="14624" width="9" customWidth="1"/>
    <col min="14625" max="14625" width="10.140625" customWidth="1"/>
    <col min="14626" max="14626" width="9" customWidth="1"/>
    <col min="14627" max="14627" width="8.5703125" customWidth="1"/>
    <col min="14628" max="14628" width="8.85546875" customWidth="1"/>
    <col min="14629" max="14629" width="8.28515625" customWidth="1"/>
    <col min="14630" max="14630" width="9.5703125" customWidth="1"/>
    <col min="14631" max="14631" width="32.42578125" customWidth="1"/>
    <col min="14632" max="14632" width="9.28515625" bestFit="1" customWidth="1"/>
    <col min="14866" max="14866" width="20.140625" bestFit="1" customWidth="1"/>
    <col min="14867" max="14867" width="8.5703125" bestFit="1" customWidth="1"/>
    <col min="14868" max="14868" width="14.42578125" bestFit="1" customWidth="1"/>
    <col min="14869" max="14869" width="2.5703125" customWidth="1"/>
    <col min="14870" max="14870" width="10.85546875" customWidth="1"/>
    <col min="14871" max="14871" width="11" customWidth="1"/>
    <col min="14872" max="14875" width="11.5703125" bestFit="1" customWidth="1"/>
    <col min="14876" max="14876" width="7.5703125" bestFit="1" customWidth="1"/>
    <col min="14877" max="14877" width="11.85546875" customWidth="1"/>
    <col min="14879" max="14879" width="10" customWidth="1"/>
    <col min="14880" max="14880" width="9" customWidth="1"/>
    <col min="14881" max="14881" width="10.140625" customWidth="1"/>
    <col min="14882" max="14882" width="9" customWidth="1"/>
    <col min="14883" max="14883" width="8.5703125" customWidth="1"/>
    <col min="14884" max="14884" width="8.85546875" customWidth="1"/>
    <col min="14885" max="14885" width="8.28515625" customWidth="1"/>
    <col min="14886" max="14886" width="9.5703125" customWidth="1"/>
    <col min="14887" max="14887" width="32.42578125" customWidth="1"/>
    <col min="14888" max="14888" width="9.28515625" bestFit="1" customWidth="1"/>
    <col min="15122" max="15122" width="20.140625" bestFit="1" customWidth="1"/>
    <col min="15123" max="15123" width="8.5703125" bestFit="1" customWidth="1"/>
    <col min="15124" max="15124" width="14.42578125" bestFit="1" customWidth="1"/>
    <col min="15125" max="15125" width="2.5703125" customWidth="1"/>
    <col min="15126" max="15126" width="10.85546875" customWidth="1"/>
    <col min="15127" max="15127" width="11" customWidth="1"/>
    <col min="15128" max="15131" width="11.5703125" bestFit="1" customWidth="1"/>
    <col min="15132" max="15132" width="7.5703125" bestFit="1" customWidth="1"/>
    <col min="15133" max="15133" width="11.85546875" customWidth="1"/>
    <col min="15135" max="15135" width="10" customWidth="1"/>
    <col min="15136" max="15136" width="9" customWidth="1"/>
    <col min="15137" max="15137" width="10.140625" customWidth="1"/>
    <col min="15138" max="15138" width="9" customWidth="1"/>
    <col min="15139" max="15139" width="8.5703125" customWidth="1"/>
    <col min="15140" max="15140" width="8.85546875" customWidth="1"/>
    <col min="15141" max="15141" width="8.28515625" customWidth="1"/>
    <col min="15142" max="15142" width="9.5703125" customWidth="1"/>
    <col min="15143" max="15143" width="32.42578125" customWidth="1"/>
    <col min="15144" max="15144" width="9.28515625" bestFit="1" customWidth="1"/>
    <col min="15378" max="15378" width="20.140625" bestFit="1" customWidth="1"/>
    <col min="15379" max="15379" width="8.5703125" bestFit="1" customWidth="1"/>
    <col min="15380" max="15380" width="14.42578125" bestFit="1" customWidth="1"/>
    <col min="15381" max="15381" width="2.5703125" customWidth="1"/>
    <col min="15382" max="15382" width="10.85546875" customWidth="1"/>
    <col min="15383" max="15383" width="11" customWidth="1"/>
    <col min="15384" max="15387" width="11.5703125" bestFit="1" customWidth="1"/>
    <col min="15388" max="15388" width="7.5703125" bestFit="1" customWidth="1"/>
    <col min="15389" max="15389" width="11.85546875" customWidth="1"/>
    <col min="15391" max="15391" width="10" customWidth="1"/>
    <col min="15392" max="15392" width="9" customWidth="1"/>
    <col min="15393" max="15393" width="10.140625" customWidth="1"/>
    <col min="15394" max="15394" width="9" customWidth="1"/>
    <col min="15395" max="15395" width="8.5703125" customWidth="1"/>
    <col min="15396" max="15396" width="8.85546875" customWidth="1"/>
    <col min="15397" max="15397" width="8.28515625" customWidth="1"/>
    <col min="15398" max="15398" width="9.5703125" customWidth="1"/>
    <col min="15399" max="15399" width="32.42578125" customWidth="1"/>
    <col min="15400" max="15400" width="9.28515625" bestFit="1" customWidth="1"/>
    <col min="15634" max="15634" width="20.140625" bestFit="1" customWidth="1"/>
    <col min="15635" max="15635" width="8.5703125" bestFit="1" customWidth="1"/>
    <col min="15636" max="15636" width="14.42578125" bestFit="1" customWidth="1"/>
    <col min="15637" max="15637" width="2.5703125" customWidth="1"/>
    <col min="15638" max="15638" width="10.85546875" customWidth="1"/>
    <col min="15639" max="15639" width="11" customWidth="1"/>
    <col min="15640" max="15643" width="11.5703125" bestFit="1" customWidth="1"/>
    <col min="15644" max="15644" width="7.5703125" bestFit="1" customWidth="1"/>
    <col min="15645" max="15645" width="11.85546875" customWidth="1"/>
    <col min="15647" max="15647" width="10" customWidth="1"/>
    <col min="15648" max="15648" width="9" customWidth="1"/>
    <col min="15649" max="15649" width="10.140625" customWidth="1"/>
    <col min="15650" max="15650" width="9" customWidth="1"/>
    <col min="15651" max="15651" width="8.5703125" customWidth="1"/>
    <col min="15652" max="15652" width="8.85546875" customWidth="1"/>
    <col min="15653" max="15653" width="8.28515625" customWidth="1"/>
    <col min="15654" max="15654" width="9.5703125" customWidth="1"/>
    <col min="15655" max="15655" width="32.42578125" customWidth="1"/>
    <col min="15656" max="15656" width="9.28515625" bestFit="1" customWidth="1"/>
    <col min="15890" max="15890" width="20.140625" bestFit="1" customWidth="1"/>
    <col min="15891" max="15891" width="8.5703125" bestFit="1" customWidth="1"/>
    <col min="15892" max="15892" width="14.42578125" bestFit="1" customWidth="1"/>
    <col min="15893" max="15893" width="2.5703125" customWidth="1"/>
    <col min="15894" max="15894" width="10.85546875" customWidth="1"/>
    <col min="15895" max="15895" width="11" customWidth="1"/>
    <col min="15896" max="15899" width="11.5703125" bestFit="1" customWidth="1"/>
    <col min="15900" max="15900" width="7.5703125" bestFit="1" customWidth="1"/>
    <col min="15901" max="15901" width="11.85546875" customWidth="1"/>
    <col min="15903" max="15903" width="10" customWidth="1"/>
    <col min="15904" max="15904" width="9" customWidth="1"/>
    <col min="15905" max="15905" width="10.140625" customWidth="1"/>
    <col min="15906" max="15906" width="9" customWidth="1"/>
    <col min="15907" max="15907" width="8.5703125" customWidth="1"/>
    <col min="15908" max="15908" width="8.85546875" customWidth="1"/>
    <col min="15909" max="15909" width="8.28515625" customWidth="1"/>
    <col min="15910" max="15910" width="9.5703125" customWidth="1"/>
    <col min="15911" max="15911" width="32.42578125" customWidth="1"/>
    <col min="15912" max="15912" width="9.28515625" bestFit="1" customWidth="1"/>
    <col min="16146" max="16146" width="20.140625" bestFit="1" customWidth="1"/>
    <col min="16147" max="16147" width="8.5703125" bestFit="1" customWidth="1"/>
    <col min="16148" max="16148" width="14.42578125" bestFit="1" customWidth="1"/>
    <col min="16149" max="16149" width="2.5703125" customWidth="1"/>
    <col min="16150" max="16150" width="10.85546875" customWidth="1"/>
    <col min="16151" max="16151" width="11" customWidth="1"/>
    <col min="16152" max="16155" width="11.5703125" bestFit="1" customWidth="1"/>
    <col min="16156" max="16156" width="7.5703125" bestFit="1" customWidth="1"/>
    <col min="16157" max="16157" width="11.85546875" customWidth="1"/>
    <col min="16159" max="16159" width="10" customWidth="1"/>
    <col min="16160" max="16160" width="9" customWidth="1"/>
    <col min="16161" max="16161" width="10.140625" customWidth="1"/>
    <col min="16162" max="16162" width="9" customWidth="1"/>
    <col min="16163" max="16163" width="8.5703125" customWidth="1"/>
    <col min="16164" max="16164" width="8.85546875" customWidth="1"/>
    <col min="16165" max="16165" width="8.28515625" customWidth="1"/>
    <col min="16166" max="16166" width="9.5703125" customWidth="1"/>
    <col min="16167" max="16167" width="32.42578125" customWidth="1"/>
    <col min="16168" max="16168" width="9.28515625" bestFit="1" customWidth="1"/>
  </cols>
  <sheetData>
    <row r="1" spans="1:54" ht="15.75" x14ac:dyDescent="0.25">
      <c r="A1" s="120" t="s">
        <v>90</v>
      </c>
      <c r="B1" s="120"/>
      <c r="C1" s="121"/>
      <c r="D1" s="121"/>
      <c r="E1" s="121"/>
      <c r="F1" s="121"/>
      <c r="G1" s="121"/>
      <c r="H1" s="121"/>
      <c r="I1" s="121"/>
      <c r="J1" s="75"/>
      <c r="K1" s="75"/>
      <c r="L1" s="75"/>
      <c r="AM1" s="37"/>
      <c r="AO1" s="41"/>
    </row>
    <row r="2" spans="1:54" ht="15.75" x14ac:dyDescent="0.25">
      <c r="A2" s="42"/>
      <c r="B2" s="42"/>
      <c r="C2" s="4"/>
      <c r="D2" s="4"/>
      <c r="E2" s="4"/>
      <c r="F2" s="40"/>
      <c r="H2" s="4"/>
      <c r="I2" s="4"/>
      <c r="J2" s="75"/>
      <c r="K2" s="75"/>
      <c r="L2" s="75"/>
      <c r="M2" s="43"/>
      <c r="N2" s="43"/>
      <c r="O2" s="43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130"/>
      <c r="AI2" s="44"/>
      <c r="AJ2" s="130"/>
      <c r="AM2" s="37"/>
      <c r="AN2" s="46"/>
      <c r="AO2" s="45"/>
      <c r="AP2" s="46"/>
    </row>
    <row r="3" spans="1:54" ht="15.75" x14ac:dyDescent="0.25">
      <c r="A3" s="47" t="s">
        <v>171</v>
      </c>
      <c r="B3" s="48"/>
      <c r="C3" s="48"/>
      <c r="D3" s="48"/>
      <c r="E3" s="48"/>
      <c r="F3" s="48"/>
      <c r="G3" s="81"/>
      <c r="H3" s="48"/>
      <c r="I3" s="48"/>
      <c r="J3" s="48"/>
      <c r="K3" s="48"/>
      <c r="L3" s="48"/>
      <c r="M3" s="43"/>
      <c r="N3" s="43"/>
      <c r="O3" s="43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130"/>
      <c r="AI3" s="44"/>
      <c r="AJ3" s="130"/>
      <c r="AM3" s="37"/>
      <c r="AN3" s="46"/>
      <c r="AO3" s="45"/>
      <c r="AP3" s="46"/>
    </row>
    <row r="4" spans="1:54" ht="15.75" x14ac:dyDescent="0.25">
      <c r="A4" s="48" t="s">
        <v>170</v>
      </c>
      <c r="B4" s="48"/>
      <c r="C4" s="48"/>
      <c r="D4" s="48"/>
      <c r="E4" s="48"/>
      <c r="F4" s="48"/>
      <c r="G4" s="81"/>
      <c r="H4" s="48"/>
      <c r="I4" s="48"/>
      <c r="J4" s="48"/>
      <c r="K4" s="48"/>
      <c r="L4" s="48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131"/>
      <c r="AI4" s="6"/>
      <c r="AJ4" s="131"/>
    </row>
    <row r="5" spans="1:54" ht="16.5" thickBot="1" x14ac:dyDescent="0.3">
      <c r="A5" s="48" t="s">
        <v>169</v>
      </c>
      <c r="B5" s="48"/>
      <c r="C5" s="48"/>
      <c r="D5" s="48"/>
      <c r="E5" s="48"/>
      <c r="F5" s="48"/>
      <c r="G5" s="81"/>
      <c r="H5" s="48"/>
      <c r="I5" s="48"/>
      <c r="J5" s="48"/>
      <c r="K5" s="48"/>
      <c r="L5" s="48"/>
    </row>
    <row r="6" spans="1:54" ht="36.75" customHeight="1" thickBot="1" x14ac:dyDescent="0.3">
      <c r="A6" s="49"/>
      <c r="B6" s="49"/>
      <c r="C6" s="49"/>
      <c r="D6" s="49"/>
      <c r="E6" s="50"/>
      <c r="F6" s="73"/>
      <c r="G6" s="82"/>
      <c r="H6" s="122" t="s">
        <v>140</v>
      </c>
      <c r="I6" s="123"/>
      <c r="J6" s="123"/>
      <c r="K6" s="123"/>
      <c r="L6" s="124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125" t="s">
        <v>91</v>
      </c>
      <c r="AI6" s="84"/>
      <c r="AJ6" s="132"/>
      <c r="AK6" s="52"/>
      <c r="AL6" s="127" t="s">
        <v>93</v>
      </c>
    </row>
    <row r="7" spans="1:54" ht="42" customHeight="1" thickBot="1" x14ac:dyDescent="0.3">
      <c r="A7" s="53" t="s">
        <v>85</v>
      </c>
      <c r="B7" s="54" t="s">
        <v>157</v>
      </c>
      <c r="C7" s="55" t="s">
        <v>158</v>
      </c>
      <c r="D7" s="56"/>
      <c r="E7" s="57" t="s">
        <v>92</v>
      </c>
      <c r="F7" s="74" t="s">
        <v>100</v>
      </c>
      <c r="G7" s="74" t="s">
        <v>101</v>
      </c>
      <c r="H7" s="58" t="s">
        <v>141</v>
      </c>
      <c r="I7" s="76" t="s">
        <v>142</v>
      </c>
      <c r="J7" s="76" t="s">
        <v>105</v>
      </c>
      <c r="K7" s="76" t="s">
        <v>108</v>
      </c>
      <c r="L7" s="76" t="s">
        <v>109</v>
      </c>
      <c r="M7" s="59" t="s">
        <v>144</v>
      </c>
      <c r="N7" s="59" t="s">
        <v>145</v>
      </c>
      <c r="O7" s="86" t="s">
        <v>103</v>
      </c>
      <c r="P7" s="59" t="s">
        <v>127</v>
      </c>
      <c r="Q7" s="86" t="s">
        <v>104</v>
      </c>
      <c r="R7" s="59" t="s">
        <v>135</v>
      </c>
      <c r="S7" s="86" t="s">
        <v>106</v>
      </c>
      <c r="T7" s="59" t="s">
        <v>136</v>
      </c>
      <c r="U7" s="86" t="s">
        <v>107</v>
      </c>
      <c r="V7" s="59" t="s">
        <v>134</v>
      </c>
      <c r="W7" s="86" t="s">
        <v>129</v>
      </c>
      <c r="X7" s="86" t="s">
        <v>130</v>
      </c>
      <c r="Y7" s="86" t="s">
        <v>128</v>
      </c>
      <c r="Z7" s="86" t="s">
        <v>131</v>
      </c>
      <c r="AA7" s="86" t="s">
        <v>132</v>
      </c>
      <c r="AB7" s="86" t="s">
        <v>110</v>
      </c>
      <c r="AC7" s="59" t="s">
        <v>133</v>
      </c>
      <c r="AD7" s="86" t="s">
        <v>111</v>
      </c>
      <c r="AE7" s="59" t="s">
        <v>137</v>
      </c>
      <c r="AF7" s="86" t="s">
        <v>112</v>
      </c>
      <c r="AG7" s="59" t="s">
        <v>138</v>
      </c>
      <c r="AH7" s="126"/>
      <c r="AI7" s="87" t="s">
        <v>102</v>
      </c>
      <c r="AJ7" s="133" t="s">
        <v>143</v>
      </c>
      <c r="AK7" s="93" t="s">
        <v>139</v>
      </c>
      <c r="AL7" s="127"/>
    </row>
    <row r="8" spans="1:54" x14ac:dyDescent="0.25">
      <c r="A8" s="91" t="s">
        <v>115</v>
      </c>
      <c r="B8" s="91"/>
      <c r="C8" s="91" t="s">
        <v>114</v>
      </c>
      <c r="D8" s="60"/>
      <c r="E8" s="61">
        <v>0.1</v>
      </c>
      <c r="F8" s="61" t="str">
        <f>COMPLEX(0,2*PI()*E8*1000)</f>
        <v>628.318530717959i</v>
      </c>
      <c r="G8" s="83" t="str">
        <f t="shared" ref="G8:G39" si="0">IMDIV(IMDIV(IMPRODUCT(1/$C$25,IMDIV(1,F8),IMSUM(IMDIV(F8,$C$21),1)),(IMSUM(IMDIV(F8,$C$22),1))),IMSUM(IMDIV(IMPOWER(F8,2),POWER($C$23,2)),IMDIV(IMDIV(F8,$C$23),$C$24),1))</f>
        <v>2450.30817853153-2135212.77635629i</v>
      </c>
      <c r="H8" s="62" t="str">
        <f t="shared" ref="H8:H39" si="1">IMDIV(IMDIV(IMPRODUCT($C$19,$C$14,G8),F8),$C$20)</f>
        <v>-2336328.96688175-2681.10327864356i</v>
      </c>
      <c r="I8" s="62" t="str">
        <f t="shared" ref="I8:I39" si="2">IMDIV(IMDIV(IMPRODUCT($C$19,$C$14,G8),F8),IMSUM(1,H8))</f>
        <v>80.0000342417228-3.92948234830978E-08i</v>
      </c>
      <c r="J8" s="89" t="str">
        <f t="shared" ref="J8:J39" si="3">IMDIV(IMDIV(IMPRODUCT(($C$14*2*PI()),G8),F8),IMSUM(1,H8))</f>
        <v>201062.015888583-0.0000987586628928991i</v>
      </c>
      <c r="K8" s="89" t="str">
        <f t="shared" ref="K8:K39" si="4">IMDIV(IMDIV(($C$14*2*PI()),F8),IMSUM(1,H8))</f>
        <v>0.000108060764870458+0.0941647377408054i</v>
      </c>
      <c r="L8" s="89" t="str">
        <f t="shared" ref="L8:L39" si="5">IMDIV(1,IMSUM(1,H8))</f>
        <v>-4.28021535185479E-07+4.91185294865719E-10i</v>
      </c>
      <c r="M8" s="63">
        <f>$C$27+20*LOG($C$11*1000000)-10*LOG(E8*1000)-20*LOG($C$11*1000000/$C$13)</f>
        <v>-129.02059991327963</v>
      </c>
      <c r="N8" s="63">
        <f>$C$26+(10*LOG10($C$13))</f>
        <v>-152.51029995663981</v>
      </c>
      <c r="O8" s="63" t="str">
        <f>IMPRODUCT((POWER(10,M8/10)+POWER(10,N8/10)),I8,(IMCONJUGATE(I8)))</f>
        <v>8.05490722391707E-10</v>
      </c>
      <c r="P8" s="63">
        <f>10*LOG(IMABS(O8))</f>
        <v>-90.939394574015481</v>
      </c>
      <c r="Q8" s="63" t="str">
        <f t="shared" ref="Q8:Q39" si="6">IMPRODUCT(POWER(SQRT($C$33/$C$38),2),J8,(IMCONJUGATE(J8)),0.5)</f>
        <v>4.09189334311464E-14</v>
      </c>
      <c r="R8" s="63">
        <f t="shared" ref="R8:R39" si="7">10*LOG(IMABS(Q8))</f>
        <v>-133.88075694876898</v>
      </c>
      <c r="S8" s="63" t="str">
        <f t="shared" ref="S8:S39" si="8">IMPRODUCT(POWER(SQRT($C$29*$C$13)*SQRT($C$33/$C$34),2)+POWER(SQRT($C$30+$C$29*$C$13)*SQRT($C$33/$C$34),2),J8,(IMCONJUGATE(J8)),0.5)</f>
        <v>1.19612104483453E-13-1.17549435082229E-38i</v>
      </c>
      <c r="T8" s="63">
        <f>10*LOG(IMABS(S8))</f>
        <v>-129.22224868471628</v>
      </c>
      <c r="U8" s="63" t="str">
        <f>IMPRODUCT(IMPRODUCT(SQRT($C$33*$C$39),IMDIV($C$40/($C$40+$C$41),IMSUM(IMPRODUCT(F8,$C$39,($C$40*$C$41)/($C$40+$C$41)),1))),IMCONJUGATE(IMPRODUCT(SQRT($C$33*$C$39),IMDIV($C$40/($C$40+$C$41),IMSUM(IMPRODUCT(F8,$C$39,($C$40*$C$41)/($C$40+$C$41)),1)))),K8,(IMCONJUGATE(K8)),0.5)</f>
        <v>2.00823848557222E-19</v>
      </c>
      <c r="V8" s="63">
        <f>10*LOG(IMABS(U8))</f>
        <v>-186.97184714426444</v>
      </c>
      <c r="W8" s="63">
        <f t="shared" ref="W8:W39" si="9">$C$38*($C$34*($C$30+$C$29*$C$13)+$C$34*$C$29*$C$13)/($C$38+($C$34*($C$30+$C$29*$C$13)+$C$34*$C$29*$C$13))</f>
        <v>102.64873945531943</v>
      </c>
      <c r="X8" s="63" t="str">
        <f>IMDIV(IMPRODUCT(IMDIV(1/($C$40+$C$41),F8),IMSUM(1,IMPRODUCT(F8,$C$39,$C$40))),IMSUM(IMPRODUCT(F8,$C$39,($C$40*$C$41)/($C$40+$C$41)),1))</f>
        <v>2728.72656499096-2232187.30201925i</v>
      </c>
      <c r="Y8" s="90" t="str">
        <f t="shared" ref="Y8:Y39" si="10">IMPRODUCT($C$31,IMSUM(1,IMDIV(X8,W8)))</f>
        <v>2.75831473379048E-09-2.17458812827494E-06i</v>
      </c>
      <c r="Z8" s="90" t="str">
        <f t="shared" ref="Z8:Z39" si="11">IMPRODUCT($C$32,X8)</f>
        <v>2.72872656499096E-10-2.23218730201925E-07i</v>
      </c>
      <c r="AA8" s="90" t="str">
        <f t="shared" ref="AA8:AA39" si="12">IMPRODUCT($C$32,$C$35,IMSUM(1,IMDIV(X8,W8)))</f>
        <v>1.37915736689524E-09-1.08729406413747E-06i</v>
      </c>
      <c r="AB8" s="90" t="str">
        <f t="shared" ref="AB8:AB39" si="13">IMPRODUCT(IMSUM(IMPRODUCT(Y8,IMCONJUGATE(Y8)),IMPRODUCT(Z8,IMCONJUGATE(Z8)),IMPRODUCT(AA8,IMCONJUGATE(AA8))),K8,IMCONJUGATE(K8),0.5)</f>
        <v>2.64275813848587E-14</v>
      </c>
      <c r="AC8" s="90">
        <f>10*LOG(IMABS(AB8))</f>
        <v>-135.7794258107084</v>
      </c>
      <c r="AD8" s="90" t="str">
        <f t="shared" ref="AD8:AD39" si="14">(IMPRODUCT(POWER(10,($C$17-20*LOG(E8*1000/$C$18))/10),L8,(IMCONJUGATE(L8))))</f>
        <v>2.648084337742E-20-5.87747175411144E-39i</v>
      </c>
      <c r="AE8" s="63">
        <f>10*LOG(IMABS(AD8))</f>
        <v>-195.77068187346879</v>
      </c>
      <c r="AF8" s="63" t="str">
        <f>IF($C$28="0",1E-30,IMSUM(IMPRODUCT(POWER(2*PI(),2)/(12*$C$13*POWER($C$20,2))*POWER((2*SIN(PI()*(E8*1000)/$C$13)),(2*($C$28-1))),I8,(IMCONJUGATE(I8))),1E-30))</f>
        <v>1.64177229489619E-27</v>
      </c>
      <c r="AG8" s="63">
        <f>10*LOG(IMABS(AF8))</f>
        <v>-267.8468707737955</v>
      </c>
      <c r="AH8" s="116">
        <v>-136</v>
      </c>
      <c r="AI8" s="63" t="str">
        <f>IMPRODUCT(POWER(10,AH8/10),I8,(IMCONJUGATE(I8)))</f>
        <v>1.60760869234753E-10-1.20370621524202E-35i</v>
      </c>
      <c r="AJ8" s="134">
        <f>10*LOG(IMABS(AI8))</f>
        <v>-97.938196542414104</v>
      </c>
      <c r="AK8" s="63">
        <f>10*LOG(IMABS(IMSUM(O8,Q8,S8,U8,AB8,AD8,AF8,AI8)))</f>
        <v>-90.148257547123848</v>
      </c>
      <c r="AL8" s="49">
        <f t="shared" ref="AL8:AL39" si="15">10^((AK8+(10*LOG((E9-E8)*1000)))/10)</f>
        <v>1.1792333810655545E-8</v>
      </c>
      <c r="BB8" s="6"/>
    </row>
    <row r="9" spans="1:54" x14ac:dyDescent="0.25">
      <c r="A9" s="91" t="s">
        <v>116</v>
      </c>
      <c r="B9" s="92"/>
      <c r="C9" s="91" t="str">
        <f>'5thOrderLoop'!C66</f>
        <v>CVCO55-
603199</v>
      </c>
      <c r="D9" s="60"/>
      <c r="E9" s="64">
        <v>0.1122018454301966</v>
      </c>
      <c r="F9" s="61" t="str">
        <f t="shared" ref="F9:F72" si="16">COMPLEX(0,2*PI()*E9*1000)</f>
        <v>704.984986645446i</v>
      </c>
      <c r="G9" s="83" t="str">
        <f t="shared" si="0"/>
        <v>2450.30816168737-1903010.49970675i</v>
      </c>
      <c r="H9" s="62" t="str">
        <f t="shared" si="1"/>
        <v>-1855812.17094255-2389.53579589814i</v>
      </c>
      <c r="I9" s="62" t="str">
        <f t="shared" si="2"/>
        <v>80.0000431077626-5.55054003267535E-08i</v>
      </c>
      <c r="J9" s="89" t="str">
        <f t="shared" si="3"/>
        <v>201062.038171372-0.000139500286127993i</v>
      </c>
      <c r="K9" s="89" t="str">
        <f t="shared" si="4"/>
        <v>0.000136040410065048+0.105654543083933i</v>
      </c>
      <c r="L9" s="89" t="str">
        <f t="shared" si="5"/>
        <v>-5.38847032368251E-07+6.9381750283541E-10i</v>
      </c>
      <c r="M9" s="63">
        <f t="shared" ref="M9:M72" si="17">$C$27+20*LOG($C$11*1000000)-10*LOG(E9*1000)-20*LOG($C$11*1000000/$C$13)</f>
        <v>-129.52059991327963</v>
      </c>
      <c r="N9" s="63">
        <f t="shared" ref="N9:N72" si="18">$C$26+(10*LOG10($C$13))</f>
        <v>-152.51029995663981</v>
      </c>
      <c r="O9" s="63" t="str">
        <f t="shared" ref="O9:O39" si="19">IMPRODUCT((POWER(10,M9/10)+POWER(10,N9/10)),I9,(IMCONJUGATE(I9)))</f>
        <v>7.1828498058614E-10+9.62964972193618E-35i</v>
      </c>
      <c r="P9" s="63">
        <f t="shared" ref="P9:P72" si="20">10*LOG(IMABS(O9))</f>
        <v>-91.43703214614672</v>
      </c>
      <c r="Q9" s="63" t="str">
        <f t="shared" si="6"/>
        <v>4.09189425008656E-14</v>
      </c>
      <c r="R9" s="63">
        <f t="shared" si="7"/>
        <v>-133.88075598615137</v>
      </c>
      <c r="S9" s="63" t="str">
        <f t="shared" si="8"/>
        <v>1.19612130995586E-13-1.17549435082229E-38i</v>
      </c>
      <c r="T9" s="63">
        <f t="shared" ref="T9:T72" si="21">10*LOG(IMABS(S9))</f>
        <v>-129.2222477220987</v>
      </c>
      <c r="U9" s="63" t="str">
        <f t="shared" ref="U9:U39" si="22">IMPRODUCT(IMPRODUCT(SQRT($C$33*$C$39),IMDIV($C$40/($C$40+$C$41),IMSUM(IMPRODUCT(F9,$C$39,($C$40*$C$41)/($C$40+$C$41)),1))),IMCONJUGATE(IMPRODUCT(SQRT($C$33*$C$39),IMDIV($C$40/($C$40+$C$41),IMSUM(IMPRODUCT(F9,$C$39,($C$40*$C$41)/($C$40+$C$41)),1)))),K9,(IMCONJUGATE(K9)),0.5)</f>
        <v>2.5282218670419E-19-4.70197740328915E-38i</v>
      </c>
      <c r="V9" s="63">
        <f t="shared" ref="V9:V72" si="23">10*LOG(IMABS(U9))</f>
        <v>-185.97184816701366</v>
      </c>
      <c r="W9" s="63">
        <f t="shared" si="9"/>
        <v>102.64873945531943</v>
      </c>
      <c r="X9" s="63" t="str">
        <f t="shared" ref="X9:X39" si="24">IMDIV(IMPRODUCT(IMDIV(1/($C$40+$C$41),F9),IMSUM(1,IMPRODUCT(F9,$C$39,$C$40))),IMSUM(IMPRODUCT(F9,$C$39,($C$40*$C$41)/($C$40+$C$41)),1))</f>
        <v>2728.72656250437-1989439.06437165i</v>
      </c>
      <c r="Y9" s="90" t="str">
        <f t="shared" si="10"/>
        <v>2.75831473136806E-09-1.93810374577235E-06i</v>
      </c>
      <c r="Z9" s="90" t="str">
        <f t="shared" si="11"/>
        <v>2.72872656250437E-10-1.98943906437165E-07i</v>
      </c>
      <c r="AA9" s="90" t="str">
        <f t="shared" si="12"/>
        <v>1.37915736568403E-09-9.69051872886175E-07i</v>
      </c>
      <c r="AB9" s="90" t="str">
        <f t="shared" si="13"/>
        <v>2.64275871807011E-14</v>
      </c>
      <c r="AC9" s="90">
        <f t="shared" ref="AC9:AC72" si="25">10*LOG(IMABS(AB9))</f>
        <v>-135.77942485825571</v>
      </c>
      <c r="AD9" s="90" t="str">
        <f t="shared" si="14"/>
        <v>3.33373988331059E-20</v>
      </c>
      <c r="AE9" s="63">
        <f t="shared" ref="AE9:AE72" si="26">10*LOG(IMABS(AD9))</f>
        <v>-194.77068289226042</v>
      </c>
      <c r="AF9" s="63" t="str">
        <f t="shared" ref="AF9:AF72" si="27">IF($C$28="0",1E-30,IMSUM(IMPRODUCT(POWER(2*PI(),2)/(12*$C$13*POWER($C$20,2))*POWER((2*SIN(PI()*(E9*1000)/$C$13)),(2*($C$28-1))),I9,(IMCONJUGATE(I9))),1E-30))</f>
        <v>2.60144941693392E-27</v>
      </c>
      <c r="AG9" s="63">
        <f t="shared" ref="AG9:AG72" si="28">10*LOG(IMABS(AF9))</f>
        <v>-265.84784614188487</v>
      </c>
      <c r="AH9" s="116">
        <f t="shared" ref="AH9:AH27" si="29">AH8-(($AH$8-$AH$28)/20)</f>
        <v>-136.69999999999999</v>
      </c>
      <c r="AI9" s="63" t="str">
        <f t="shared" ref="AI9:AI39" si="30">IMPRODUCT(POWER(10,AH9/10),I9,(IMCONJUGATE(I9)))</f>
        <v>1.36829721188602E-10</v>
      </c>
      <c r="AJ9" s="134">
        <f t="shared" ref="AJ9:AJ72" si="31">10*LOG(IMABS(AI9))</f>
        <v>-98.63819557979653</v>
      </c>
      <c r="AK9" s="63">
        <f t="shared" ref="AK9:AK39" si="32">10*LOG(IMABS(IMSUM(O9,Q9,S9,U9,AB9,AD9,AF9,AI9)))</f>
        <v>-90.678806847094279</v>
      </c>
      <c r="AL9" s="49">
        <f t="shared" si="15"/>
        <v>1.1709674810742093E-8</v>
      </c>
    </row>
    <row r="10" spans="1:54" x14ac:dyDescent="0.25">
      <c r="A10" s="92" t="s">
        <v>146</v>
      </c>
      <c r="B10" s="92" t="s">
        <v>154</v>
      </c>
      <c r="C10" s="107">
        <f>'5thOrderLoop'!C61/1000</f>
        <v>300</v>
      </c>
      <c r="D10" s="65"/>
      <c r="E10" s="64">
        <v>0.12589254117941703</v>
      </c>
      <c r="F10" s="61" t="str">
        <f t="shared" si="16"/>
        <v>791.006165022014i</v>
      </c>
      <c r="G10" s="83" t="str">
        <f t="shared" si="0"/>
        <v>2450.30814048183-1696060.0161871i</v>
      </c>
      <c r="H10" s="62" t="str">
        <f t="shared" si="1"/>
        <v>-1474124.1126688-2129.67600136767i</v>
      </c>
      <c r="I10" s="62" t="str">
        <f t="shared" si="2"/>
        <v>80.0000542694381-7.84034376518455E-08i</v>
      </c>
      <c r="J10" s="89" t="str">
        <f t="shared" si="3"/>
        <v>201062.066223722-0.000197049332741704i</v>
      </c>
      <c r="K10" s="89" t="str">
        <f t="shared" si="4"/>
        <v>0.00017126467720079+0.118546304171768i</v>
      </c>
      <c r="L10" s="89" t="str">
        <f t="shared" si="5"/>
        <v>-6.78367976345998E-07+9.80042973958183E-10i</v>
      </c>
      <c r="M10" s="63">
        <f t="shared" si="17"/>
        <v>-130.02059991327963</v>
      </c>
      <c r="N10" s="63">
        <f t="shared" si="18"/>
        <v>-152.51029995663981</v>
      </c>
      <c r="O10" s="63" t="str">
        <f t="shared" si="19"/>
        <v>6.40562801013058E-10</v>
      </c>
      <c r="P10" s="63">
        <f t="shared" si="20"/>
        <v>-91.934382854409165</v>
      </c>
      <c r="Q10" s="63" t="str">
        <f t="shared" si="6"/>
        <v>4.09189539189591E-14</v>
      </c>
      <c r="R10" s="63">
        <f t="shared" si="7"/>
        <v>-133.88075477428859</v>
      </c>
      <c r="S10" s="63" t="str">
        <f t="shared" si="8"/>
        <v>1.19612164372365E-13</v>
      </c>
      <c r="T10" s="63">
        <f t="shared" si="21"/>
        <v>-129.22224651023589</v>
      </c>
      <c r="U10" s="63" t="str">
        <f t="shared" si="22"/>
        <v>3.18284181144691E-19+9.4039548065783E-38i</v>
      </c>
      <c r="V10" s="63">
        <f t="shared" si="23"/>
        <v>-184.97184945457821</v>
      </c>
      <c r="W10" s="63">
        <f t="shared" si="9"/>
        <v>102.64873945531943</v>
      </c>
      <c r="X10" s="63" t="str">
        <f t="shared" si="24"/>
        <v>2728.72655937394-1773089.47439612i</v>
      </c>
      <c r="Y10" s="90" t="str">
        <f t="shared" si="10"/>
        <v>2.7583147283184E-09-1.72733682245353E-06i</v>
      </c>
      <c r="Z10" s="90" t="str">
        <f t="shared" si="11"/>
        <v>2.72872655937394E-10-1.77308947439612E-07i</v>
      </c>
      <c r="AA10" s="90" t="str">
        <f t="shared" si="12"/>
        <v>1.3791573641592E-09-8.63668411226765E-07i</v>
      </c>
      <c r="AB10" s="90" t="str">
        <f t="shared" si="13"/>
        <v>2.6427594477231E-14-6.16297582203915E-33i</v>
      </c>
      <c r="AC10" s="90">
        <f t="shared" si="25"/>
        <v>-135.77942365918966</v>
      </c>
      <c r="AD10" s="90" t="str">
        <f t="shared" si="14"/>
        <v>4.19692861595122E-20</v>
      </c>
      <c r="AE10" s="63">
        <f t="shared" si="26"/>
        <v>-193.77068417484276</v>
      </c>
      <c r="AF10" s="63" t="str">
        <f t="shared" si="27"/>
        <v>4.12243572825504E-27+6.68191177523049E-52i</v>
      </c>
      <c r="AG10" s="63">
        <f t="shared" si="28"/>
        <v>-263.84846106594728</v>
      </c>
      <c r="AH10" s="116">
        <f t="shared" si="29"/>
        <v>-137.39999999999998</v>
      </c>
      <c r="AI10" s="63" t="str">
        <f t="shared" si="30"/>
        <v>1.16461012957721E-10</v>
      </c>
      <c r="AJ10" s="134">
        <f t="shared" si="31"/>
        <v>-99.338194367933767</v>
      </c>
      <c r="AK10" s="63">
        <f t="shared" si="32"/>
        <v>-91.207832158384662</v>
      </c>
      <c r="AL10" s="49">
        <f t="shared" si="15"/>
        <v>1.1631676184804147E-8</v>
      </c>
    </row>
    <row r="11" spans="1:54" x14ac:dyDescent="0.25">
      <c r="A11" s="92" t="s">
        <v>147</v>
      </c>
      <c r="B11" s="92" t="s">
        <v>176</v>
      </c>
      <c r="C11" s="92">
        <f>AVERAGE('5thOrderLoop'!C64:'5thOrderLoop'!C65)/1000000</f>
        <v>4000</v>
      </c>
      <c r="D11" s="66"/>
      <c r="E11" s="64">
        <v>0.14125375446227575</v>
      </c>
      <c r="F11" s="61" t="str">
        <f t="shared" si="16"/>
        <v>887.523514621324i</v>
      </c>
      <c r="G11" s="83" t="str">
        <f t="shared" si="0"/>
        <v>2450.30811378563-1511615.21861675i</v>
      </c>
      <c r="H11" s="62" t="str">
        <f t="shared" si="1"/>
        <v>-1170938.51112488-1898.07571346026i</v>
      </c>
      <c r="I11" s="62" t="str">
        <f t="shared" si="2"/>
        <v>80.0000683211436-1.1074775727484E-07i</v>
      </c>
      <c r="J11" s="89" t="str">
        <f t="shared" si="3"/>
        <v>201062.101539509-0.00027833947401468i</v>
      </c>
      <c r="K11" s="89" t="str">
        <f t="shared" si="4"/>
        <v>0.000215609371759734+0.133011080302634i</v>
      </c>
      <c r="L11" s="89" t="str">
        <f t="shared" si="5"/>
        <v>-8.54014294446832E-07+1.38434696628705E-09i</v>
      </c>
      <c r="M11" s="63">
        <f t="shared" si="17"/>
        <v>-130.52059991327963</v>
      </c>
      <c r="N11" s="63">
        <f t="shared" si="18"/>
        <v>-152.51029995663981</v>
      </c>
      <c r="O11" s="63" t="str">
        <f t="shared" si="19"/>
        <v>5.7129285761077E-10</v>
      </c>
      <c r="P11" s="63">
        <f t="shared" si="20"/>
        <v>-92.431412055204433</v>
      </c>
      <c r="Q11" s="63" t="str">
        <f t="shared" si="6"/>
        <v>4.09189682934775E-14</v>
      </c>
      <c r="R11" s="63">
        <f t="shared" si="7"/>
        <v>-133.88075324864528</v>
      </c>
      <c r="S11" s="63" t="str">
        <f t="shared" si="8"/>
        <v>1.19612206391212E-13</v>
      </c>
      <c r="T11" s="63">
        <f t="shared" si="21"/>
        <v>-129.22224498459258</v>
      </c>
      <c r="U11" s="63" t="str">
        <f t="shared" si="22"/>
        <v>4.00695894260627E-19</v>
      </c>
      <c r="V11" s="63">
        <f t="shared" si="23"/>
        <v>-183.97185107552548</v>
      </c>
      <c r="W11" s="63">
        <f t="shared" si="9"/>
        <v>102.64873945531943</v>
      </c>
      <c r="X11" s="63" t="str">
        <f t="shared" si="24"/>
        <v>2728.72655543296-1580267.70447998i</v>
      </c>
      <c r="Y11" s="90" t="str">
        <f t="shared" si="10"/>
        <v>2.75831472447912E-09-0.0000015394906093005i</v>
      </c>
      <c r="Z11" s="90" t="str">
        <f t="shared" si="11"/>
        <v>2.72872655543296E-10-1.58026770447998E-07i</v>
      </c>
      <c r="AA11" s="90" t="str">
        <f t="shared" si="12"/>
        <v>1.37915736223956E-09-7.6974530465025E-07i</v>
      </c>
      <c r="AB11" s="90" t="str">
        <f t="shared" si="13"/>
        <v>2.64276036630113E-14</v>
      </c>
      <c r="AC11" s="90">
        <f t="shared" si="25"/>
        <v>-135.77942214965651</v>
      </c>
      <c r="AD11" s="90" t="str">
        <f t="shared" si="14"/>
        <v>5.2836181216964E-20+1.17549435082229E-38i</v>
      </c>
      <c r="AE11" s="63">
        <f t="shared" si="26"/>
        <v>-192.7706857895177</v>
      </c>
      <c r="AF11" s="63" t="str">
        <f t="shared" si="27"/>
        <v>6.53303772346147E-27</v>
      </c>
      <c r="AG11" s="63">
        <f t="shared" si="28"/>
        <v>-261.84884834073489</v>
      </c>
      <c r="AH11" s="116">
        <f t="shared" si="29"/>
        <v>-138.09999999999997</v>
      </c>
      <c r="AI11" s="63" t="str">
        <f t="shared" si="30"/>
        <v>9.91244329175477E-11</v>
      </c>
      <c r="AJ11" s="134">
        <f t="shared" si="31"/>
        <v>-100.03819284229037</v>
      </c>
      <c r="AK11" s="63">
        <f t="shared" si="32"/>
        <v>-91.735336986829893</v>
      </c>
      <c r="AL11" s="49">
        <f t="shared" si="15"/>
        <v>1.1558242991057597E-8</v>
      </c>
    </row>
    <row r="12" spans="1:54" x14ac:dyDescent="0.25">
      <c r="A12" s="92" t="s">
        <v>35</v>
      </c>
      <c r="B12" s="92" t="s">
        <v>155</v>
      </c>
      <c r="C12" s="108">
        <f>'5thOrderLoop'!C62</f>
        <v>45</v>
      </c>
      <c r="D12" s="67"/>
      <c r="E12" s="64">
        <v>0.15848931924611176</v>
      </c>
      <c r="F12" s="61" t="str">
        <f t="shared" si="16"/>
        <v>995.817762032064i</v>
      </c>
      <c r="G12" s="83" t="str">
        <f t="shared" si="0"/>
        <v>2450.30808017712-1347228.63659401i</v>
      </c>
      <c r="H12" s="62" t="str">
        <f t="shared" si="1"/>
        <v>-930109.627456674-1691.66173706744i</v>
      </c>
      <c r="I12" s="62" t="str">
        <f t="shared" si="2"/>
        <v>80.0000860111744-1.56435289999626E-07i</v>
      </c>
      <c r="J12" s="89" t="str">
        <f t="shared" si="3"/>
        <v>201062.145999406-0.000393164766508827i</v>
      </c>
      <c r="K12" s="89" t="str">
        <f t="shared" si="4"/>
        <v>0.000271435986358194+0.149240801031314i</v>
      </c>
      <c r="L12" s="89" t="str">
        <f t="shared" si="5"/>
        <v>-1.07513967996352E-06+1.95544112258214E-09i</v>
      </c>
      <c r="M12" s="63">
        <f t="shared" si="17"/>
        <v>-131.02059991327963</v>
      </c>
      <c r="N12" s="63">
        <f t="shared" si="18"/>
        <v>-152.51029995663981</v>
      </c>
      <c r="O12" s="63" t="str">
        <f t="shared" si="19"/>
        <v>5.09555980366646E-10</v>
      </c>
      <c r="P12" s="63">
        <f t="shared" si="20"/>
        <v>-92.928080969788283</v>
      </c>
      <c r="Q12" s="63" t="str">
        <f t="shared" si="6"/>
        <v>4.09189863899095E-14</v>
      </c>
      <c r="R12" s="63">
        <f t="shared" si="7"/>
        <v>-133.88075132797641</v>
      </c>
      <c r="S12" s="63" t="str">
        <f t="shared" si="8"/>
        <v>1.19612259289763E-13-4.70197740328915E-38i</v>
      </c>
      <c r="T12" s="63">
        <f t="shared" si="21"/>
        <v>-129.22224306392371</v>
      </c>
      <c r="U12" s="63" t="str">
        <f t="shared" si="22"/>
        <v>5.04446006658561E-19</v>
      </c>
      <c r="V12" s="63">
        <f t="shared" si="23"/>
        <v>-182.97185311617622</v>
      </c>
      <c r="W12" s="63">
        <f t="shared" si="9"/>
        <v>102.64873945531943</v>
      </c>
      <c r="X12" s="63" t="str">
        <f t="shared" si="24"/>
        <v>2728.72655047156-1408415.12688806i</v>
      </c>
      <c r="Y12" s="90" t="str">
        <f t="shared" si="10"/>
        <v>2.75831471964574E-09-1.37207250119336E-06i</v>
      </c>
      <c r="Z12" s="90" t="str">
        <f t="shared" si="11"/>
        <v>2.72872655047156E-10-1.40841512688806E-07i</v>
      </c>
      <c r="AA12" s="90" t="str">
        <f t="shared" si="12"/>
        <v>1.37915735982287E-09-6.8603625059668E-07i</v>
      </c>
      <c r="AB12" s="90" t="str">
        <f t="shared" si="13"/>
        <v>2.64276152272144E-14</v>
      </c>
      <c r="AC12" s="90">
        <f t="shared" si="25"/>
        <v>-135.77942024926912</v>
      </c>
      <c r="AD12" s="90" t="str">
        <f t="shared" si="14"/>
        <v>6.65167800624142E-20+2.35098870164458E-38i</v>
      </c>
      <c r="AE12" s="63">
        <f t="shared" si="26"/>
        <v>-191.77068782227201</v>
      </c>
      <c r="AF12" s="63" t="str">
        <f t="shared" si="27"/>
        <v>1.03535866991065E-26</v>
      </c>
      <c r="AG12" s="63">
        <f t="shared" si="28"/>
        <v>-259.84909175444557</v>
      </c>
      <c r="AH12" s="116">
        <f t="shared" si="29"/>
        <v>-138.79999999999995</v>
      </c>
      <c r="AI12" s="63" t="str">
        <f t="shared" si="30"/>
        <v>8.43686126834047E-11-2.40741243048404E-35i</v>
      </c>
      <c r="AJ12" s="134">
        <f t="shared" si="31"/>
        <v>-100.73819092162151</v>
      </c>
      <c r="AK12" s="63">
        <f t="shared" si="32"/>
        <v>-92.261320026975937</v>
      </c>
      <c r="AL12" s="49">
        <f t="shared" si="15"/>
        <v>1.1489298595375839E-8</v>
      </c>
    </row>
    <row r="13" spans="1:54" x14ac:dyDescent="0.25">
      <c r="A13" s="92" t="s">
        <v>6</v>
      </c>
      <c r="B13" s="92" t="s">
        <v>12</v>
      </c>
      <c r="C13" s="92">
        <f>'5thOrderLoop'!C63</f>
        <v>50000000</v>
      </c>
      <c r="D13" s="60"/>
      <c r="E13" s="64">
        <v>0.17782794100389276</v>
      </c>
      <c r="F13" s="61" t="str">
        <f t="shared" si="16"/>
        <v>1117.32590612166i</v>
      </c>
      <c r="G13" s="83" t="str">
        <f t="shared" si="0"/>
        <v>2450.30803786649-1200718.96005087i</v>
      </c>
      <c r="H13" s="62" t="str">
        <f t="shared" si="1"/>
        <v>-738812.445421891-1507.69508413223i</v>
      </c>
      <c r="I13" s="62" t="str">
        <f t="shared" si="2"/>
        <v>80.0001082815749-2.20970586749493E-07i</v>
      </c>
      <c r="J13" s="89" t="str">
        <f t="shared" si="3"/>
        <v>201062.201971027-0.000555359657222242i</v>
      </c>
      <c r="K13" s="89" t="str">
        <f t="shared" si="4"/>
        <v>0.000341717453643723+0.167450811844834i</v>
      </c>
      <c r="L13" s="89" t="str">
        <f t="shared" si="5"/>
        <v>-1.35351968589987E-06+2.76213232666167E-09i</v>
      </c>
      <c r="M13" s="63">
        <f t="shared" si="17"/>
        <v>-131.52059991327963</v>
      </c>
      <c r="N13" s="63">
        <f t="shared" si="18"/>
        <v>-152.51029995663981</v>
      </c>
      <c r="O13" s="63" t="str">
        <f t="shared" si="19"/>
        <v>4.54532958492193E-10</v>
      </c>
      <c r="P13" s="63">
        <f t="shared" si="20"/>
        <v>-93.424346203136736</v>
      </c>
      <c r="Q13" s="63" t="str">
        <f t="shared" si="6"/>
        <v>4.09190091719434E-14</v>
      </c>
      <c r="R13" s="63">
        <f t="shared" si="7"/>
        <v>-133.88074891000133</v>
      </c>
      <c r="S13" s="63" t="str">
        <f t="shared" si="8"/>
        <v>1.19612325885023E-13-4.70197740328915E-38i</v>
      </c>
      <c r="T13" s="63">
        <f t="shared" si="21"/>
        <v>-129.22224064594869</v>
      </c>
      <c r="U13" s="63" t="str">
        <f t="shared" si="22"/>
        <v>6.35059520997316E-19</v>
      </c>
      <c r="V13" s="63">
        <f t="shared" si="23"/>
        <v>-181.97185568520189</v>
      </c>
      <c r="W13" s="63">
        <f t="shared" si="9"/>
        <v>102.64873945531943</v>
      </c>
      <c r="X13" s="63" t="str">
        <f t="shared" si="24"/>
        <v>2728.72654422554-1255251.3623272i</v>
      </c>
      <c r="Y13" s="90" t="str">
        <f t="shared" si="10"/>
        <v>2.75831471356089E-09-0.0000012228609615548i</v>
      </c>
      <c r="Z13" s="90" t="str">
        <f t="shared" si="11"/>
        <v>2.72872654422554E-10-1.2552513623272E-07i</v>
      </c>
      <c r="AA13" s="90" t="str">
        <f t="shared" si="12"/>
        <v>1.37915735678044E-09-0.0000006114304807774i</v>
      </c>
      <c r="AB13" s="90" t="str">
        <f t="shared" si="13"/>
        <v>2.64276297856682E-14-6.16297582203915E-33i</v>
      </c>
      <c r="AC13" s="90">
        <f t="shared" si="25"/>
        <v>-135.77941785682685</v>
      </c>
      <c r="AD13" s="90" t="str">
        <f t="shared" si="14"/>
        <v>8.3739615387627E-20-2.35098870164458E-38i</v>
      </c>
      <c r="AE13" s="63">
        <f t="shared" si="26"/>
        <v>-190.77069038135676</v>
      </c>
      <c r="AF13" s="63" t="str">
        <f t="shared" si="27"/>
        <v>1.64087533186639E-26</v>
      </c>
      <c r="AG13" s="63">
        <f t="shared" si="28"/>
        <v>-257.84924413912921</v>
      </c>
      <c r="AH13" s="116">
        <f t="shared" si="29"/>
        <v>-139.49999999999994</v>
      </c>
      <c r="AI13" s="63" t="str">
        <f t="shared" si="30"/>
        <v>7.18093754657386E-11</v>
      </c>
      <c r="AJ13" s="134">
        <f t="shared" si="31"/>
        <v>-101.4381885036464</v>
      </c>
      <c r="AK13" s="63">
        <f t="shared" si="32"/>
        <v>-92.785774616808027</v>
      </c>
      <c r="AL13" s="49">
        <f t="shared" si="15"/>
        <v>1.1424785566506667E-8</v>
      </c>
    </row>
    <row r="14" spans="1:54" x14ac:dyDescent="0.25">
      <c r="A14" s="92" t="str">
        <f>'5thOrderLoop'!A67</f>
        <v>VCO Kv</v>
      </c>
      <c r="B14" s="92" t="s">
        <v>24</v>
      </c>
      <c r="C14" s="92">
        <f>'5thOrderLoop'!C67</f>
        <v>22000000</v>
      </c>
      <c r="D14" s="60"/>
      <c r="E14" s="64">
        <v>0.19952623149688853</v>
      </c>
      <c r="F14" s="61" t="str">
        <f t="shared" si="16"/>
        <v>1253.66028613816i</v>
      </c>
      <c r="G14" s="83" t="str">
        <f t="shared" si="0"/>
        <v>2450.30798460058-1070142.09459363i</v>
      </c>
      <c r="H14" s="62" t="str">
        <f t="shared" si="1"/>
        <v>-586859.692508469-1343.73462894178i</v>
      </c>
      <c r="I14" s="62" t="str">
        <f t="shared" si="2"/>
        <v>80.0001363183022-3.12129011453861E-07i</v>
      </c>
      <c r="J14" s="89" t="str">
        <f t="shared" si="3"/>
        <v>201062.272435009-0.000784465769348065i</v>
      </c>
      <c r="K14" s="89" t="str">
        <f t="shared" si="4"/>
        <v>0.000430196457564318+0.187882730094403i</v>
      </c>
      <c r="L14" s="89" t="str">
        <f t="shared" si="5"/>
        <v>-1.70397877723105E-06+3.90161263550542E-09i</v>
      </c>
      <c r="M14" s="63">
        <f t="shared" si="17"/>
        <v>-132.02059991327963</v>
      </c>
      <c r="N14" s="63">
        <f t="shared" si="18"/>
        <v>-152.51029995663981</v>
      </c>
      <c r="O14" s="63" t="str">
        <f t="shared" si="19"/>
        <v>4.05493669996983E-10</v>
      </c>
      <c r="P14" s="63">
        <f t="shared" si="20"/>
        <v>-93.920159210011306</v>
      </c>
      <c r="Q14" s="63" t="str">
        <f t="shared" si="6"/>
        <v>4.09190378527875E-14+2.35098870164458E-38i</v>
      </c>
      <c r="R14" s="63">
        <f t="shared" si="7"/>
        <v>-133.88074586595698</v>
      </c>
      <c r="S14" s="63" t="str">
        <f t="shared" si="8"/>
        <v>1.1961240972338E-13+9.4039548065783E-38i</v>
      </c>
      <c r="T14" s="63">
        <f t="shared" si="21"/>
        <v>-129.22223760190428</v>
      </c>
      <c r="U14" s="63" t="str">
        <f t="shared" si="22"/>
        <v>7.99491973600102E-19</v>
      </c>
      <c r="V14" s="63">
        <f t="shared" si="23"/>
        <v>-180.97185891941115</v>
      </c>
      <c r="W14" s="63">
        <f t="shared" si="9"/>
        <v>102.64873945531943</v>
      </c>
      <c r="X14" s="63" t="str">
        <f t="shared" si="24"/>
        <v>2728.72653636227-1118744.02069853i</v>
      </c>
      <c r="Y14" s="90" t="str">
        <f t="shared" si="10"/>
        <v>2.75831470590052E-09-1.08987604390943E-06i</v>
      </c>
      <c r="Z14" s="90" t="str">
        <f t="shared" si="11"/>
        <v>2.72872653636227E-10-1.11874402069853E-07i</v>
      </c>
      <c r="AA14" s="90" t="str">
        <f t="shared" si="12"/>
        <v>1.37915735295026E-09-5.44938021954715E-07i</v>
      </c>
      <c r="AB14" s="90" t="str">
        <f t="shared" si="13"/>
        <v>2.64276481136534E-14</v>
      </c>
      <c r="AC14" s="90">
        <f t="shared" si="25"/>
        <v>-135.77941484492598</v>
      </c>
      <c r="AD14" s="90" t="str">
        <f t="shared" si="14"/>
        <v>1.05421851581018E-19+4.70197740328915E-38i</v>
      </c>
      <c r="AE14" s="63">
        <f t="shared" si="26"/>
        <v>-189.77069360305114</v>
      </c>
      <c r="AF14" s="63" t="str">
        <f t="shared" si="27"/>
        <v>2.60055547648022E-26</v>
      </c>
      <c r="AG14" s="63">
        <f t="shared" si="28"/>
        <v>-255.84933877181498</v>
      </c>
      <c r="AH14" s="116">
        <f t="shared" si="29"/>
        <v>-140.19999999999993</v>
      </c>
      <c r="AI14" s="63" t="str">
        <f t="shared" si="30"/>
        <v>6.11197337982989E-11</v>
      </c>
      <c r="AJ14" s="134">
        <f t="shared" si="31"/>
        <v>-102.13818545960207</v>
      </c>
      <c r="AK14" s="63">
        <f t="shared" si="32"/>
        <v>-93.308688141637631</v>
      </c>
      <c r="AL14" s="49">
        <f t="shared" si="15"/>
        <v>1.1364666742554642E-8</v>
      </c>
    </row>
    <row r="15" spans="1:54" x14ac:dyDescent="0.25">
      <c r="A15" s="92" t="s">
        <v>164</v>
      </c>
      <c r="B15" s="92"/>
      <c r="C15" s="92" t="str">
        <f>'5thOrderLoop'!C74</f>
        <v>5|6</v>
      </c>
      <c r="D15" s="66"/>
      <c r="E15" s="64">
        <v>0.22387211385683461</v>
      </c>
      <c r="F15" s="61" t="str">
        <f t="shared" si="16"/>
        <v>1406.6299764725i</v>
      </c>
      <c r="G15" s="83" t="str">
        <f t="shared" si="0"/>
        <v>2450.30791754276-953765.364551511i</v>
      </c>
      <c r="H15" s="62" t="str">
        <f t="shared" si="1"/>
        <v>-466159.330525246-1197.60471587219i</v>
      </c>
      <c r="I15" s="62" t="str">
        <f t="shared" si="2"/>
        <v>80.0001716143781-4.40893523307252E-07i</v>
      </c>
      <c r="J15" s="89" t="str">
        <f t="shared" si="3"/>
        <v>201062.361143722-0.00110808628103859i</v>
      </c>
      <c r="K15" s="89" t="str">
        <f t="shared" si="4"/>
        <v>0.000541584731884585+0.210807648890575i</v>
      </c>
      <c r="L15" s="89" t="str">
        <f t="shared" si="5"/>
        <v>-2.14517972610556E-06+5.51116903452678E-09i</v>
      </c>
      <c r="M15" s="63">
        <f t="shared" si="17"/>
        <v>-132.52059991327963</v>
      </c>
      <c r="N15" s="63">
        <f t="shared" si="18"/>
        <v>-152.51029995663981</v>
      </c>
      <c r="O15" s="63" t="str">
        <f t="shared" si="19"/>
        <v>3.61787393417668E-10-3.85185988877447E-34i</v>
      </c>
      <c r="P15" s="63">
        <f t="shared" si="20"/>
        <v>-94.415465703245459</v>
      </c>
      <c r="Q15" s="63" t="str">
        <f t="shared" si="6"/>
        <v>4.09190739597701E-14</v>
      </c>
      <c r="R15" s="63">
        <f t="shared" si="7"/>
        <v>-133.88074203374165</v>
      </c>
      <c r="S15" s="63" t="str">
        <f t="shared" si="8"/>
        <v>1.19612515269439E-13</v>
      </c>
      <c r="T15" s="63">
        <f t="shared" si="21"/>
        <v>-129.22223376968898</v>
      </c>
      <c r="U15" s="63" t="str">
        <f t="shared" si="22"/>
        <v>1.00649981847025E-18</v>
      </c>
      <c r="V15" s="63">
        <f t="shared" si="23"/>
        <v>-179.97186299103566</v>
      </c>
      <c r="W15" s="63">
        <f t="shared" si="9"/>
        <v>102.64873945531943</v>
      </c>
      <c r="X15" s="63" t="str">
        <f t="shared" si="24"/>
        <v>2728.726526463-997081.732515606i</v>
      </c>
      <c r="Y15" s="90" t="str">
        <f t="shared" si="10"/>
        <v>2.75831469625669E-09-9.7135311919696E-07i</v>
      </c>
      <c r="Z15" s="90" t="str">
        <f t="shared" si="11"/>
        <v>2.728726526463E-10-9.97081732515606E-08i</v>
      </c>
      <c r="AA15" s="90" t="str">
        <f t="shared" si="12"/>
        <v>1.37915734812835E-09-4.8567655959848E-07i</v>
      </c>
      <c r="AB15" s="90" t="str">
        <f t="shared" si="13"/>
        <v>2.64276711871818E-14</v>
      </c>
      <c r="AC15" s="90">
        <f t="shared" si="25"/>
        <v>-135.77941105317666</v>
      </c>
      <c r="AD15" s="90" t="str">
        <f t="shared" si="14"/>
        <v>1.32718123968436E-19</v>
      </c>
      <c r="AE15" s="63">
        <f t="shared" si="26"/>
        <v>-188.77069765892034</v>
      </c>
      <c r="AF15" s="63" t="str">
        <f t="shared" si="27"/>
        <v>4.12154781862468E-26+4.27642353614751E-50i</v>
      </c>
      <c r="AG15" s="63">
        <f t="shared" si="28"/>
        <v>-253.84939657061489</v>
      </c>
      <c r="AH15" s="116">
        <f t="shared" si="29"/>
        <v>-140.89999999999992</v>
      </c>
      <c r="AI15" s="63" t="str">
        <f t="shared" si="30"/>
        <v>5.20213762241881E-11</v>
      </c>
      <c r="AJ15" s="134">
        <f t="shared" si="31"/>
        <v>-102.8381816273867</v>
      </c>
      <c r="AK15" s="63">
        <f t="shared" si="32"/>
        <v>-93.830041381761603</v>
      </c>
      <c r="AL15" s="49">
        <f t="shared" si="15"/>
        <v>1.1308926487320617E-8</v>
      </c>
    </row>
    <row r="16" spans="1:54" x14ac:dyDescent="0.25">
      <c r="A16" s="92" t="s">
        <v>162</v>
      </c>
      <c r="B16" s="92"/>
      <c r="C16" s="92" t="str">
        <f>'5thOrderLoop'!C77</f>
        <v>MASH 1-1-1</v>
      </c>
      <c r="D16" s="49"/>
      <c r="E16" s="64">
        <v>0.25118864315095879</v>
      </c>
      <c r="F16" s="61" t="str">
        <f t="shared" si="16"/>
        <v>1578.26479197648i</v>
      </c>
      <c r="G16" s="83" t="str">
        <f t="shared" si="0"/>
        <v>2450.307833122-850044.521423207i</v>
      </c>
      <c r="H16" s="62" t="str">
        <f t="shared" si="1"/>
        <v>-370283.62506053-1067.36628976038i</v>
      </c>
      <c r="I16" s="62" t="str">
        <f t="shared" si="2"/>
        <v>80.00021604939-6.22777900171974E-07i</v>
      </c>
      <c r="J16" s="89" t="str">
        <f t="shared" si="3"/>
        <v>201062.472821089-0.00156521158336184i</v>
      </c>
      <c r="K16" s="89" t="str">
        <f t="shared" si="4"/>
        <v>0.000681813956504615+0.236529731207936i</v>
      </c>
      <c r="L16" s="89" t="str">
        <f t="shared" si="5"/>
        <v>-2.70061737486284E-06+7.78472375526276E-09i</v>
      </c>
      <c r="M16" s="63">
        <f t="shared" si="17"/>
        <v>-133.02059991327963</v>
      </c>
      <c r="N16" s="63">
        <f t="shared" si="18"/>
        <v>-152.51029995663981</v>
      </c>
      <c r="O16" s="63" t="str">
        <f t="shared" si="19"/>
        <v>3.22834173144877E-10+3.85185988877447E-34i</v>
      </c>
      <c r="P16" s="63">
        <f t="shared" si="20"/>
        <v>-94.91020499901876</v>
      </c>
      <c r="Q16" s="63" t="str">
        <f t="shared" si="6"/>
        <v>4.09191194156742E-14-4.70197740328915E-38i</v>
      </c>
      <c r="R16" s="63">
        <f t="shared" si="7"/>
        <v>-133.88073720928315</v>
      </c>
      <c r="S16" s="63" t="str">
        <f t="shared" si="8"/>
        <v>1.19612648143781E-13</v>
      </c>
      <c r="T16" s="63">
        <f t="shared" si="21"/>
        <v>-129.22222894523048</v>
      </c>
      <c r="U16" s="63" t="str">
        <f t="shared" si="22"/>
        <v>1.26710670290415E-18</v>
      </c>
      <c r="V16" s="63">
        <f t="shared" si="23"/>
        <v>-178.9718681169015</v>
      </c>
      <c r="W16" s="63">
        <f t="shared" si="9"/>
        <v>102.64873945531943</v>
      </c>
      <c r="X16" s="63" t="str">
        <f t="shared" si="24"/>
        <v>2728.72651400054-888650.113131908i</v>
      </c>
      <c r="Y16" s="90" t="str">
        <f t="shared" si="10"/>
        <v>2.75831468411581E-09-8.65719460216768E-07i</v>
      </c>
      <c r="Z16" s="90" t="str">
        <f t="shared" si="11"/>
        <v>2.72872651400054E-10-8.88650113131908E-08i</v>
      </c>
      <c r="AA16" s="90" t="str">
        <f t="shared" si="12"/>
        <v>1.37915734205791E-09-4.32859730108384E-07i</v>
      </c>
      <c r="AB16" s="90" t="str">
        <f t="shared" si="13"/>
        <v>2.64277002349743E-14</v>
      </c>
      <c r="AC16" s="90">
        <f t="shared" si="25"/>
        <v>-135.77940627966146</v>
      </c>
      <c r="AD16" s="90" t="str">
        <f t="shared" si="14"/>
        <v>1.67082022429881E-19</v>
      </c>
      <c r="AE16" s="63">
        <f t="shared" si="26"/>
        <v>-187.77070276495127</v>
      </c>
      <c r="AF16" s="63" t="str">
        <f t="shared" si="27"/>
        <v>6.53216184688342E-26</v>
      </c>
      <c r="AG16" s="63">
        <f t="shared" si="28"/>
        <v>-251.84943063320304</v>
      </c>
      <c r="AH16" s="116">
        <f t="shared" si="29"/>
        <v>-141.59999999999991</v>
      </c>
      <c r="AI16" s="63" t="str">
        <f t="shared" si="30"/>
        <v>4.42774212905903E-11-4.81482486096809E-35i</v>
      </c>
      <c r="AJ16" s="134">
        <f t="shared" si="31"/>
        <v>-103.53817680292826</v>
      </c>
      <c r="AK16" s="63">
        <f t="shared" si="32"/>
        <v>-94.349807798229804</v>
      </c>
      <c r="AL16" s="49">
        <f t="shared" si="15"/>
        <v>1.1257572157595075E-8</v>
      </c>
    </row>
    <row r="17" spans="1:38" x14ac:dyDescent="0.25">
      <c r="A17" s="92" t="str">
        <f>'5thOrderLoop'!A55</f>
        <v>L(foffset)</v>
      </c>
      <c r="B17" s="92" t="s">
        <v>46</v>
      </c>
      <c r="C17" s="92">
        <f>'5thOrderLoop'!C68</f>
        <v>-128.4</v>
      </c>
      <c r="D17" s="49"/>
      <c r="E17" s="64">
        <v>0.28183829312644626</v>
      </c>
      <c r="F17" s="61" t="str">
        <f t="shared" si="16"/>
        <v>1770.84222237266i</v>
      </c>
      <c r="G17" s="83" t="str">
        <f t="shared" si="0"/>
        <v>2450.30772684253-757603.252637478i</v>
      </c>
      <c r="H17" s="62" t="str">
        <f t="shared" si="1"/>
        <v>-294126.845185791-951.29116582004i</v>
      </c>
      <c r="I17" s="62" t="str">
        <f t="shared" si="2"/>
        <v>80.0002719895734-8.79695826256061E-07i</v>
      </c>
      <c r="J17" s="89" t="str">
        <f t="shared" si="3"/>
        <v>201062.613414104-0.00221091675740607i</v>
      </c>
      <c r="K17" s="89" t="str">
        <f t="shared" si="4"/>
        <v>0.0008583516082605+0.265390241513041i</v>
      </c>
      <c r="L17" s="89" t="str">
        <f t="shared" si="5"/>
        <v>-3.39986966729321E-06+1.09961978261127E-08i</v>
      </c>
      <c r="M17" s="63">
        <f t="shared" si="17"/>
        <v>-133.52059991327963</v>
      </c>
      <c r="N17" s="63">
        <f t="shared" si="18"/>
        <v>-152.51029995663981</v>
      </c>
      <c r="O17" s="63" t="str">
        <f t="shared" si="19"/>
        <v>2.88117123771342E-10</v>
      </c>
      <c r="P17" s="63">
        <f t="shared" si="20"/>
        <v>-95.404309293683099</v>
      </c>
      <c r="Q17" s="63" t="str">
        <f t="shared" si="6"/>
        <v>4.09191766411157E-14</v>
      </c>
      <c r="R17" s="63">
        <f t="shared" si="7"/>
        <v>-133.88073113567347</v>
      </c>
      <c r="S17" s="63" t="str">
        <f t="shared" si="8"/>
        <v>1.19612815422224E-13</v>
      </c>
      <c r="T17" s="63">
        <f t="shared" si="21"/>
        <v>-129.22222287162077</v>
      </c>
      <c r="U17" s="63" t="str">
        <f t="shared" si="22"/>
        <v>1.59519045748528E-18</v>
      </c>
      <c r="V17" s="63">
        <f t="shared" si="23"/>
        <v>-177.97187456997491</v>
      </c>
      <c r="W17" s="63">
        <f t="shared" si="9"/>
        <v>102.64873945531943</v>
      </c>
      <c r="X17" s="63" t="str">
        <f t="shared" si="24"/>
        <v>2728.72649831124-792010.340837393i</v>
      </c>
      <c r="Y17" s="90" t="str">
        <f t="shared" si="10"/>
        <v>2.75831466883136E-09-7.71573372493421E-07i</v>
      </c>
      <c r="Z17" s="90" t="str">
        <f t="shared" si="11"/>
        <v>2.72872649831124E-10-7.92010340837393E-08i</v>
      </c>
      <c r="AA17" s="90" t="str">
        <f t="shared" si="12"/>
        <v>1.37915733441568E-09-3.85786686246711E-07i</v>
      </c>
      <c r="AB17" s="90" t="str">
        <f t="shared" si="13"/>
        <v>2.6427736803885E-14</v>
      </c>
      <c r="AC17" s="90">
        <f t="shared" si="25"/>
        <v>-135.77940027018462</v>
      </c>
      <c r="AD17" s="90" t="str">
        <f t="shared" si="14"/>
        <v>2.10343492555964E-19</v>
      </c>
      <c r="AE17" s="63">
        <f t="shared" si="26"/>
        <v>-186.77070919305422</v>
      </c>
      <c r="AF17" s="63" t="str">
        <f t="shared" si="27"/>
        <v>1.03527348315684E-25</v>
      </c>
      <c r="AG17" s="63">
        <f t="shared" si="28"/>
        <v>-249.84944909591809</v>
      </c>
      <c r="AH17" s="116">
        <f t="shared" si="29"/>
        <v>-142.2999999999999</v>
      </c>
      <c r="AI17" s="63" t="str">
        <f t="shared" si="30"/>
        <v>3.76862501981296E-11+9.62964972193618E-35i</v>
      </c>
      <c r="AJ17" s="134">
        <f t="shared" si="31"/>
        <v>-104.23817072931851</v>
      </c>
      <c r="AK17" s="63">
        <f t="shared" si="32"/>
        <v>-94.867952750840686</v>
      </c>
      <c r="AL17" s="49">
        <f t="shared" si="15"/>
        <v>1.1210635805340458E-8</v>
      </c>
    </row>
    <row r="18" spans="1:38" x14ac:dyDescent="0.25">
      <c r="A18" s="92" t="str">
        <f>'5thOrderLoop'!A56</f>
        <v>foffset</v>
      </c>
      <c r="B18" s="92" t="s">
        <v>12</v>
      </c>
      <c r="C18" s="92">
        <f>'5thOrderLoop'!C69</f>
        <v>100000</v>
      </c>
      <c r="D18" s="49"/>
      <c r="E18" s="64">
        <v>0.316227766016839</v>
      </c>
      <c r="F18" s="61" t="str">
        <f t="shared" si="16"/>
        <v>1986.91765315923i</v>
      </c>
      <c r="G18" s="83" t="str">
        <f t="shared" si="0"/>
        <v>2450.30759304462-675214.918721547i</v>
      </c>
      <c r="H18" s="62" t="str">
        <f t="shared" si="1"/>
        <v>-233633.364665598-847.839097679592i</v>
      </c>
      <c r="I18" s="62" t="str">
        <f t="shared" si="2"/>
        <v>80.0003424138028-1.24260099809635E-06i</v>
      </c>
      <c r="J18" s="89" t="str">
        <f t="shared" si="3"/>
        <v>201062.790409497-0.00312299693374072i</v>
      </c>
      <c r="K18" s="89" t="str">
        <f t="shared" si="4"/>
        <v>0.00108059857933737+0.297772067879187i</v>
      </c>
      <c r="L18" s="89" t="str">
        <f t="shared" si="5"/>
        <v>-4.28017253671137E-06+1.55325124865831E-08i</v>
      </c>
      <c r="M18" s="63">
        <f t="shared" si="17"/>
        <v>-134.02059991327963</v>
      </c>
      <c r="N18" s="63">
        <f t="shared" si="18"/>
        <v>-152.51029995663981</v>
      </c>
      <c r="O18" s="63" t="str">
        <f t="shared" si="19"/>
        <v>2.57175571345043E-10</v>
      </c>
      <c r="P18" s="63">
        <f t="shared" si="20"/>
        <v>-95.897702866572558</v>
      </c>
      <c r="Q18" s="63" t="str">
        <f t="shared" si="6"/>
        <v>4.09192486834394E-14</v>
      </c>
      <c r="R18" s="63">
        <f t="shared" si="7"/>
        <v>-133.88072348948927</v>
      </c>
      <c r="S18" s="63" t="str">
        <f t="shared" si="8"/>
        <v>1.19613026012609E-13</v>
      </c>
      <c r="T18" s="63">
        <f t="shared" si="21"/>
        <v>-129.22221522543663</v>
      </c>
      <c r="U18" s="63" t="str">
        <f t="shared" si="22"/>
        <v>2.00822204699106E-18</v>
      </c>
      <c r="V18" s="63">
        <f t="shared" si="23"/>
        <v>-176.97188269389841</v>
      </c>
      <c r="W18" s="63">
        <f t="shared" si="9"/>
        <v>102.64873945531943</v>
      </c>
      <c r="X18" s="63" t="str">
        <f t="shared" si="24"/>
        <v>2728.72647855958-705880.064568586i</v>
      </c>
      <c r="Y18" s="90" t="str">
        <f t="shared" si="10"/>
        <v>2.75831464958937E-09-6.8766559464263E-07i</v>
      </c>
      <c r="Z18" s="90" t="str">
        <f t="shared" si="11"/>
        <v>2.72872647855958E-10-7.05880064568586E-08i</v>
      </c>
      <c r="AA18" s="90" t="str">
        <f t="shared" si="12"/>
        <v>1.37915732479469E-09-3.43832797321315E-07i</v>
      </c>
      <c r="AB18" s="90" t="str">
        <f t="shared" si="13"/>
        <v>2.64277828412673E-14-1.23259516440783E-32i</v>
      </c>
      <c r="AC18" s="90">
        <f t="shared" si="25"/>
        <v>-135.77939270473786</v>
      </c>
      <c r="AD18" s="90" t="str">
        <f t="shared" si="14"/>
        <v>2.6480627455328E-19</v>
      </c>
      <c r="AE18" s="63">
        <f t="shared" si="26"/>
        <v>-185.77071728554159</v>
      </c>
      <c r="AF18" s="63" t="str">
        <f t="shared" si="27"/>
        <v>1.64079493553177E-25</v>
      </c>
      <c r="AG18" s="63">
        <f t="shared" si="28"/>
        <v>-247.84945693128478</v>
      </c>
      <c r="AH18" s="116">
        <f t="shared" si="29"/>
        <v>-142.99999999999989</v>
      </c>
      <c r="AI18" s="63" t="str">
        <f t="shared" si="30"/>
        <v>3.20762575342163E-11-9.62964972193618E-35i</v>
      </c>
      <c r="AJ18" s="134">
        <f t="shared" si="31"/>
        <v>-104.93816308313433</v>
      </c>
      <c r="AK18" s="63">
        <f t="shared" si="32"/>
        <v>-95.384432642349495</v>
      </c>
      <c r="AL18" s="49">
        <f t="shared" si="15"/>
        <v>1.1168176141930259E-8</v>
      </c>
    </row>
    <row r="19" spans="1:38" x14ac:dyDescent="0.25">
      <c r="A19" s="92" t="str">
        <f>'5thOrderLoop'!A70</f>
        <v>Icp</v>
      </c>
      <c r="B19" s="92" t="s">
        <v>13</v>
      </c>
      <c r="C19" s="92">
        <f>'5thOrderLoop'!C70</f>
        <v>2.5000000000000001E-3</v>
      </c>
      <c r="D19" s="49"/>
      <c r="E19" s="64">
        <v>0.35481338923357669</v>
      </c>
      <c r="F19" s="61" t="str">
        <f t="shared" si="16"/>
        <v>2229.358274023i</v>
      </c>
      <c r="G19" s="83" t="str">
        <f t="shared" si="0"/>
        <v>2450.30742460303-601786.276540551i</v>
      </c>
      <c r="H19" s="62" t="str">
        <f t="shared" si="1"/>
        <v>-185581.685071656-755.637339248599i</v>
      </c>
      <c r="I19" s="62" t="str">
        <f t="shared" si="2"/>
        <v>80.0004310721974-1.75521632648347E-06i</v>
      </c>
      <c r="J19" s="89" t="str">
        <f t="shared" si="3"/>
        <v>201063.013232346-0.00441133977688609i</v>
      </c>
      <c r="K19" s="89" t="str">
        <f t="shared" si="4"/>
        <v>0.00136038972671078+0.334104793839961i</v>
      </c>
      <c r="L19" s="89" t="str">
        <f t="shared" si="5"/>
        <v>-5.38840246643372E-06+2.19402040733087E-08i</v>
      </c>
      <c r="M19" s="63">
        <f t="shared" si="17"/>
        <v>-134.52059991327963</v>
      </c>
      <c r="N19" s="63">
        <f t="shared" si="18"/>
        <v>-152.51029995663981</v>
      </c>
      <c r="O19" s="63" t="str">
        <f t="shared" si="19"/>
        <v>2.29598940516403E-10+7.70371977754894E-34i</v>
      </c>
      <c r="P19" s="63">
        <f t="shared" si="20"/>
        <v>-96.390301203199755</v>
      </c>
      <c r="Q19" s="63" t="str">
        <f t="shared" si="6"/>
        <v>4.09193393789739E-14-1.88079096131566E-37i</v>
      </c>
      <c r="R19" s="63">
        <f t="shared" si="7"/>
        <v>-133.88071386357294</v>
      </c>
      <c r="S19" s="63" t="str">
        <f t="shared" si="8"/>
        <v>1.19613291129093E-13+3.76158192263132E-37i</v>
      </c>
      <c r="T19" s="63">
        <f t="shared" si="21"/>
        <v>-129.22220559952027</v>
      </c>
      <c r="U19" s="63" t="str">
        <f t="shared" si="22"/>
        <v>2.52819581371666E-18</v>
      </c>
      <c r="V19" s="63">
        <f t="shared" si="23"/>
        <v>-175.97189292128871</v>
      </c>
      <c r="W19" s="63">
        <f t="shared" si="9"/>
        <v>102.64873945531943</v>
      </c>
      <c r="X19" s="63" t="str">
        <f t="shared" si="24"/>
        <v>2728.72645369372-629116.387889084i</v>
      </c>
      <c r="Y19" s="90" t="str">
        <f t="shared" si="10"/>
        <v>2.75831462536515E-09-6.12882721431688E-07i</v>
      </c>
      <c r="Z19" s="90" t="str">
        <f t="shared" si="11"/>
        <v>2.72872645369372E-10-6.29116387889084E-08i</v>
      </c>
      <c r="AA19" s="90" t="str">
        <f t="shared" si="12"/>
        <v>1.37915731268258E-09-3.06441360715844E-07i</v>
      </c>
      <c r="AB19" s="90" t="str">
        <f t="shared" si="13"/>
        <v>2.64278407986641E-14</v>
      </c>
      <c r="AC19" s="90">
        <f t="shared" si="25"/>
        <v>-135.77938318046176</v>
      </c>
      <c r="AD19" s="90" t="str">
        <f t="shared" si="14"/>
        <v>3.33370566205731E-19</v>
      </c>
      <c r="AE19" s="63">
        <f t="shared" si="26"/>
        <v>-184.77072747335632</v>
      </c>
      <c r="AF19" s="63" t="str">
        <f t="shared" si="27"/>
        <v>2.60048463825324E-25</v>
      </c>
      <c r="AG19" s="63">
        <f t="shared" si="28"/>
        <v>-245.84945707373308</v>
      </c>
      <c r="AH19" s="116">
        <f t="shared" si="29"/>
        <v>-143.69999999999987</v>
      </c>
      <c r="AI19" s="63" t="str">
        <f t="shared" si="30"/>
        <v>2.73013834226083E-11</v>
      </c>
      <c r="AJ19" s="134">
        <f t="shared" si="31"/>
        <v>-105.63815345721794</v>
      </c>
      <c r="AK19" s="63">
        <f t="shared" si="32"/>
        <v>-95.899193982858591</v>
      </c>
      <c r="AL19" s="49">
        <f t="shared" si="15"/>
        <v>1.1130280795280947E-8</v>
      </c>
    </row>
    <row r="20" spans="1:38" x14ac:dyDescent="0.25">
      <c r="A20" s="92" t="str">
        <f>'5thOrderLoop'!A78</f>
        <v>N</v>
      </c>
      <c r="B20" s="92"/>
      <c r="C20" s="92">
        <f>'5thOrderLoop'!C78</f>
        <v>80</v>
      </c>
      <c r="D20" s="49"/>
      <c r="E20" s="64">
        <v>0.39810717055349865</v>
      </c>
      <c r="F20" s="61" t="str">
        <f t="shared" si="16"/>
        <v>2501.38112470458i</v>
      </c>
      <c r="G20" s="83" t="str">
        <f t="shared" si="0"/>
        <v>2450.30721254767-536342.972625358i</v>
      </c>
      <c r="H20" s="62" t="str">
        <f t="shared" si="1"/>
        <v>-147412.879244255-673.462429211174i</v>
      </c>
      <c r="I20" s="62" t="str">
        <f t="shared" si="2"/>
        <v>80.0005426857774-2.47930142290111E-06i</v>
      </c>
      <c r="J20" s="89" t="str">
        <f t="shared" si="3"/>
        <v>201063.293747867-0.00623116410373765i</v>
      </c>
      <c r="K20" s="89" t="str">
        <f t="shared" si="4"/>
        <v>0.0017126239909258+0.374870386217202i</v>
      </c>
      <c r="L20" s="89" t="str">
        <f t="shared" si="5"/>
        <v>-6.78357221732851E-06+3.09912677840686E-08i</v>
      </c>
      <c r="M20" s="63">
        <f t="shared" si="17"/>
        <v>-135.02059991327963</v>
      </c>
      <c r="N20" s="63">
        <f t="shared" si="18"/>
        <v>-152.51029995663981</v>
      </c>
      <c r="O20" s="63" t="str">
        <f t="shared" si="19"/>
        <v>2.05021306466206E-10</v>
      </c>
      <c r="P20" s="63">
        <f t="shared" si="20"/>
        <v>-96.882010033351222</v>
      </c>
      <c r="Q20" s="63" t="str">
        <f t="shared" si="6"/>
        <v>4.09194535572867E-14</v>
      </c>
      <c r="R20" s="63">
        <f t="shared" si="7"/>
        <v>-133.88070174535625</v>
      </c>
      <c r="S20" s="63" t="str">
        <f t="shared" si="8"/>
        <v>1.19613624889217E-13</v>
      </c>
      <c r="T20" s="63">
        <f t="shared" si="21"/>
        <v>-129.22219348130358</v>
      </c>
      <c r="U20" s="63" t="str">
        <f t="shared" si="22"/>
        <v>3.18280051984886E-18</v>
      </c>
      <c r="V20" s="63">
        <f t="shared" si="23"/>
        <v>-174.97190579677354</v>
      </c>
      <c r="W20" s="63">
        <f t="shared" si="9"/>
        <v>102.64873945531943</v>
      </c>
      <c r="X20" s="63" t="str">
        <f t="shared" si="24"/>
        <v>2728.72642238945-560700.703448214i</v>
      </c>
      <c r="Y20" s="90" t="str">
        <f t="shared" si="10"/>
        <v>2.75831459486865E-09-5.46232429568484E-07i</v>
      </c>
      <c r="Z20" s="90" t="str">
        <f t="shared" si="11"/>
        <v>2.72872642238945E-10-5.60700703448214E-08i</v>
      </c>
      <c r="AA20" s="90" t="str">
        <f t="shared" si="12"/>
        <v>1.37915729743432E-09-2.73116214784242E-07i</v>
      </c>
      <c r="AB20" s="90" t="str">
        <f t="shared" si="13"/>
        <v>2.64279137623305E-14</v>
      </c>
      <c r="AC20" s="90">
        <f t="shared" si="25"/>
        <v>-135.77937119019958</v>
      </c>
      <c r="AD20" s="90" t="str">
        <f t="shared" si="14"/>
        <v>4.19687437910351E-19</v>
      </c>
      <c r="AE20" s="63">
        <f t="shared" si="26"/>
        <v>-183.77074029901837</v>
      </c>
      <c r="AF20" s="63" t="str">
        <f t="shared" si="27"/>
        <v>4.12149605124105E-25-2.73691106313441E-48i</v>
      </c>
      <c r="AG20" s="63">
        <f t="shared" si="28"/>
        <v>-243.84945111912731</v>
      </c>
      <c r="AH20" s="116">
        <f t="shared" si="29"/>
        <v>-144.39999999999986</v>
      </c>
      <c r="AI20" s="63" t="str">
        <f t="shared" si="30"/>
        <v>2.32373107660306E-11</v>
      </c>
      <c r="AJ20" s="134">
        <f t="shared" si="31"/>
        <v>-106.33814133900124</v>
      </c>
      <c r="AK20" s="63">
        <f t="shared" si="32"/>
        <v>-96.412172368498489</v>
      </c>
      <c r="AL20" s="49">
        <f t="shared" si="15"/>
        <v>1.109706889490357E-8</v>
      </c>
    </row>
    <row r="21" spans="1:38" x14ac:dyDescent="0.25">
      <c r="A21" s="92" t="str">
        <f>'5thOrderLoop'!A79</f>
        <v>wz</v>
      </c>
      <c r="B21" s="92" t="s">
        <v>25</v>
      </c>
      <c r="C21" s="92">
        <f>'5thOrderLoop'!C79</f>
        <v>471238.89803846896</v>
      </c>
      <c r="D21" s="49"/>
      <c r="E21" s="64">
        <v>0.44668359215096465</v>
      </c>
      <c r="F21" s="61" t="str">
        <f t="shared" si="16"/>
        <v>2806.59578316114i</v>
      </c>
      <c r="G21" s="83" t="str">
        <f t="shared" si="0"/>
        <v>2450.30694558581-478016.614094013i</v>
      </c>
      <c r="H21" s="62" t="str">
        <f t="shared" si="1"/>
        <v>-117094.319089827-600.223956437666i</v>
      </c>
      <c r="I21" s="62" t="str">
        <f t="shared" si="2"/>
        <v>80.0006831977998-3.50209294240046E-06i</v>
      </c>
      <c r="J21" s="89" t="str">
        <f t="shared" si="3"/>
        <v>201063.646893098-0.00880171956843709i</v>
      </c>
      <c r="K21" s="89" t="str">
        <f t="shared" si="4"/>
        <v>0.00215605761216929+0.420609572893659i</v>
      </c>
      <c r="L21" s="89" t="str">
        <f t="shared" si="5"/>
        <v>-8.53997249605557E-06+4.37761617767367E-08i</v>
      </c>
      <c r="M21" s="63">
        <f t="shared" si="17"/>
        <v>-135.52059991327963</v>
      </c>
      <c r="N21" s="63">
        <f t="shared" si="18"/>
        <v>-152.51029995663981</v>
      </c>
      <c r="O21" s="63" t="str">
        <f t="shared" si="19"/>
        <v>1.83116539322436E-10</v>
      </c>
      <c r="P21" s="63">
        <f t="shared" si="20"/>
        <v>-97.372724278879673</v>
      </c>
      <c r="Q21" s="63" t="str">
        <f t="shared" si="6"/>
        <v>4.09195972983177E-14+3.76158192263132E-37i</v>
      </c>
      <c r="R21" s="63">
        <f t="shared" si="7"/>
        <v>-133.88068648957412</v>
      </c>
      <c r="S21" s="63" t="str">
        <f t="shared" si="8"/>
        <v>1.19614045065545E-13-7.52316384526264E-37i</v>
      </c>
      <c r="T21" s="63">
        <f t="shared" si="21"/>
        <v>-129.22217822552145</v>
      </c>
      <c r="U21" s="63" t="str">
        <f t="shared" si="22"/>
        <v>4.00689350011273E-18</v>
      </c>
      <c r="V21" s="63">
        <f t="shared" si="23"/>
        <v>-173.97192200599005</v>
      </c>
      <c r="W21" s="63">
        <f t="shared" si="9"/>
        <v>102.64873945531943</v>
      </c>
      <c r="X21" s="63" t="str">
        <f t="shared" si="24"/>
        <v>2728.72638297972-499725.176680373i</v>
      </c>
      <c r="Y21" s="90" t="str">
        <f t="shared" si="10"/>
        <v>2.75831455647584E-09-4.86830310174332E-07i</v>
      </c>
      <c r="Z21" s="90" t="str">
        <f t="shared" si="11"/>
        <v>2.72872638297972E-10-4.99725176680373E-08i</v>
      </c>
      <c r="AA21" s="90" t="str">
        <f t="shared" si="12"/>
        <v>1.37915727823792E-09-2.43415155087166E-07i</v>
      </c>
      <c r="AB21" s="90" t="str">
        <f t="shared" si="13"/>
        <v>2.64280056175554E-14</v>
      </c>
      <c r="AC21" s="90">
        <f t="shared" si="25"/>
        <v>-135.77935609549772</v>
      </c>
      <c r="AD21" s="90" t="str">
        <f t="shared" si="14"/>
        <v>5.28353216245234E-19</v>
      </c>
      <c r="AE21" s="63">
        <f t="shared" si="26"/>
        <v>-182.77075644551172</v>
      </c>
      <c r="AF21" s="63" t="str">
        <f t="shared" si="27"/>
        <v>6.53214813061226E-25</v>
      </c>
      <c r="AG21" s="63">
        <f t="shared" si="28"/>
        <v>-241.84943975255322</v>
      </c>
      <c r="AH21" s="116">
        <f t="shared" si="29"/>
        <v>-145.09999999999985</v>
      </c>
      <c r="AI21" s="63" t="str">
        <f t="shared" si="30"/>
        <v>1.97782285748165E-11-9.62964972193618E-35i</v>
      </c>
      <c r="AJ21" s="134">
        <f t="shared" si="31"/>
        <v>-107.0381260832191</v>
      </c>
      <c r="AK21" s="63">
        <f t="shared" si="32"/>
        <v>-96.923291368846833</v>
      </c>
      <c r="AL21" s="49">
        <f t="shared" si="15"/>
        <v>1.1068694024709706E-8</v>
      </c>
    </row>
    <row r="22" spans="1:38" x14ac:dyDescent="0.25">
      <c r="A22" s="92" t="str">
        <f>'5thOrderLoop'!A80</f>
        <v>wp1</v>
      </c>
      <c r="B22" s="92" t="s">
        <v>25</v>
      </c>
      <c r="C22" s="92">
        <f>'5thOrderLoop'!C80</f>
        <v>10084512.418023234</v>
      </c>
      <c r="D22" s="49"/>
      <c r="E22" s="64">
        <v>0.50118723362727402</v>
      </c>
      <c r="F22" s="61" t="str">
        <f t="shared" si="16"/>
        <v>3149.05226247287i</v>
      </c>
      <c r="G22" s="83" t="str">
        <f t="shared" si="0"/>
        <v>2450.30660950079-426033.245605793i</v>
      </c>
      <c r="H22" s="62" t="str">
        <f t="shared" si="1"/>
        <v>-93011.4307229621-534.95009089145i</v>
      </c>
      <c r="I22" s="62" t="str">
        <f t="shared" si="2"/>
        <v>80.0008600901327-4.94681393350302E-06i</v>
      </c>
      <c r="J22" s="89" t="str">
        <f t="shared" si="3"/>
        <v>201064.091472021-0.0124326994453829i</v>
      </c>
      <c r="K22" s="89" t="str">
        <f t="shared" si="4"/>
        <v>0.00271430264064179+0.471928993035341i</v>
      </c>
      <c r="L22" s="89" t="str">
        <f t="shared" si="5"/>
        <v>-0.0000107511266585404+6.18351741677483E-08i</v>
      </c>
      <c r="M22" s="63">
        <f t="shared" si="17"/>
        <v>-136.02059991327963</v>
      </c>
      <c r="N22" s="63">
        <f t="shared" si="18"/>
        <v>-152.51029995663981</v>
      </c>
      <c r="O22" s="63" t="str">
        <f t="shared" si="19"/>
        <v>1.63593976636166E-10</v>
      </c>
      <c r="P22" s="63">
        <f t="shared" si="20"/>
        <v>-97.862326906514468</v>
      </c>
      <c r="Q22" s="63" t="str">
        <f t="shared" si="6"/>
        <v>4.09197782560483E-14+3.76158192263132E-37i</v>
      </c>
      <c r="R22" s="63">
        <f t="shared" si="7"/>
        <v>-133.88066728391831</v>
      </c>
      <c r="S22" s="63" t="str">
        <f t="shared" si="8"/>
        <v>1.196145740318E-13</v>
      </c>
      <c r="T22" s="63">
        <f t="shared" si="21"/>
        <v>-129.22215901986564</v>
      </c>
      <c r="U22" s="63" t="str">
        <f t="shared" si="22"/>
        <v>5.04435634777988E-18</v>
      </c>
      <c r="V22" s="63">
        <f t="shared" si="23"/>
        <v>-172.97194241209189</v>
      </c>
      <c r="W22" s="63">
        <f t="shared" si="9"/>
        <v>102.64873945531943</v>
      </c>
      <c r="X22" s="63" t="str">
        <f t="shared" si="24"/>
        <v>2728.7263333658-445380.699391902i</v>
      </c>
      <c r="Y22" s="90" t="str">
        <f t="shared" si="10"/>
        <v>2.75831450814216E-09-4.33888133215475E-07i</v>
      </c>
      <c r="Z22" s="90" t="str">
        <f t="shared" si="11"/>
        <v>2.7287263333658E-10-4.45380699391902E-08i</v>
      </c>
      <c r="AA22" s="90" t="str">
        <f t="shared" si="12"/>
        <v>1.37915725407108E-09-2.16944066607738E-07i</v>
      </c>
      <c r="AB22" s="90" t="str">
        <f t="shared" si="13"/>
        <v>2.64281212554974E-14</v>
      </c>
      <c r="AC22" s="90">
        <f t="shared" si="25"/>
        <v>-135.77933709262214</v>
      </c>
      <c r="AD22" s="90" t="str">
        <f t="shared" si="14"/>
        <v>6.65154177075212E-19+7.52316384526264E-37i</v>
      </c>
      <c r="AE22" s="63">
        <f t="shared" si="26"/>
        <v>-181.77077677264978</v>
      </c>
      <c r="AF22" s="63" t="str">
        <f t="shared" si="27"/>
        <v>1.03527970366888E-24</v>
      </c>
      <c r="AG22" s="63">
        <f t="shared" si="28"/>
        <v>-239.84942300111339</v>
      </c>
      <c r="AH22" s="116">
        <f t="shared" si="29"/>
        <v>-145.79999999999984</v>
      </c>
      <c r="AI22" s="63" t="str">
        <f t="shared" si="30"/>
        <v>1.68340771128842E-11</v>
      </c>
      <c r="AJ22" s="134">
        <f t="shared" si="31"/>
        <v>-107.73810687756331</v>
      </c>
      <c r="AK22" s="63">
        <f t="shared" si="32"/>
        <v>-97.432461318136987</v>
      </c>
      <c r="AL22" s="49">
        <f t="shared" si="15"/>
        <v>1.1045347588903159E-8</v>
      </c>
    </row>
    <row r="23" spans="1:38" x14ac:dyDescent="0.25">
      <c r="A23" s="92" t="str">
        <f>'5thOrderLoop'!A81</f>
        <v>wp2</v>
      </c>
      <c r="B23" s="92" t="s">
        <v>25</v>
      </c>
      <c r="C23" s="92">
        <f>'5thOrderLoop'!C81</f>
        <v>15268140.296446394</v>
      </c>
      <c r="D23" s="49"/>
      <c r="E23" s="64">
        <v>0.56234132519035118</v>
      </c>
      <c r="F23" s="61" t="str">
        <f t="shared" si="16"/>
        <v>3533.29475205591i</v>
      </c>
      <c r="G23" s="83" t="str">
        <f t="shared" si="0"/>
        <v>2450.30618639487-379703.079444071i</v>
      </c>
      <c r="H23" s="62" t="str">
        <f t="shared" si="1"/>
        <v>-73881.7125194281-476.774688034806i</v>
      </c>
      <c r="I23" s="62" t="str">
        <f t="shared" si="2"/>
        <v>80.0010827814974-6.98751802747871E-06i</v>
      </c>
      <c r="J23" s="89" t="str">
        <f t="shared" si="3"/>
        <v>201064.651156465-0.0175615482436501i</v>
      </c>
      <c r="K23" s="89" t="str">
        <f t="shared" si="4"/>
        <v>0.00341708384480149+0.529509211642819i</v>
      </c>
      <c r="L23" s="89" t="str">
        <f t="shared" si="5"/>
        <v>-0.0000135347687170782+8.73439753441913E-08i</v>
      </c>
      <c r="M23" s="63">
        <f t="shared" si="17"/>
        <v>-136.52059991327963</v>
      </c>
      <c r="N23" s="63">
        <f t="shared" si="18"/>
        <v>-152.51029995663981</v>
      </c>
      <c r="O23" s="63" t="str">
        <f t="shared" si="19"/>
        <v>1.46194566494114E-10</v>
      </c>
      <c r="P23" s="63">
        <f t="shared" si="20"/>
        <v>-98.35068768181678</v>
      </c>
      <c r="Q23" s="63" t="str">
        <f t="shared" si="6"/>
        <v>4.09200060659477E-14</v>
      </c>
      <c r="R23" s="63">
        <f t="shared" si="7"/>
        <v>-133.88064310580421</v>
      </c>
      <c r="S23" s="63" t="str">
        <f t="shared" si="8"/>
        <v>1.19615239953886E-13-1.50463276905253E-36i</v>
      </c>
      <c r="T23" s="63">
        <f t="shared" si="21"/>
        <v>-129.22213484175154</v>
      </c>
      <c r="U23" s="63" t="str">
        <f t="shared" si="22"/>
        <v>6.350430827855E-18</v>
      </c>
      <c r="V23" s="63">
        <f t="shared" si="23"/>
        <v>-171.97196810170533</v>
      </c>
      <c r="W23" s="63">
        <f t="shared" si="9"/>
        <v>102.64873945531943</v>
      </c>
      <c r="X23" s="63" t="str">
        <f t="shared" si="24"/>
        <v>2728.72627090558-396946.153386945i</v>
      </c>
      <c r="Y23" s="90" t="str">
        <f t="shared" si="10"/>
        <v>2.75831444729366E-09-3.86703388169444E-07i</v>
      </c>
      <c r="Z23" s="90" t="str">
        <f t="shared" si="11"/>
        <v>2.72872627090558E-10-3.96946153386945E-08i</v>
      </c>
      <c r="AA23" s="90" t="str">
        <f t="shared" si="12"/>
        <v>1.37915722364683E-09-1.93351694084722E-07i</v>
      </c>
      <c r="AB23" s="90" t="str">
        <f t="shared" si="13"/>
        <v>2.64282668335598E-14-2.46519032881566E-32i</v>
      </c>
      <c r="AC23" s="90">
        <f t="shared" si="25"/>
        <v>-135.77931316978083</v>
      </c>
      <c r="AD23" s="90" t="str">
        <f t="shared" si="14"/>
        <v>8.37374562152253E-19</v>
      </c>
      <c r="AE23" s="63">
        <f t="shared" si="26"/>
        <v>-180.77080236285377</v>
      </c>
      <c r="AF23" s="63" t="str">
        <f t="shared" si="27"/>
        <v>1.64081630421255E-24</v>
      </c>
      <c r="AG23" s="63">
        <f t="shared" si="28"/>
        <v>-237.84940037187252</v>
      </c>
      <c r="AH23" s="116">
        <f t="shared" si="29"/>
        <v>-146.49999999999983</v>
      </c>
      <c r="AI23" s="63" t="str">
        <f t="shared" si="30"/>
        <v>1.43282031367949E-11</v>
      </c>
      <c r="AJ23" s="134">
        <f t="shared" si="31"/>
        <v>-108.43808269944918</v>
      </c>
      <c r="AK23" s="63">
        <f t="shared" si="32"/>
        <v>-97.939578006227279</v>
      </c>
      <c r="AL23" s="49">
        <f t="shared" si="15"/>
        <v>1.1027262642656799E-8</v>
      </c>
    </row>
    <row r="24" spans="1:38" x14ac:dyDescent="0.25">
      <c r="A24" s="92" t="str">
        <f>'5thOrderLoop'!A82</f>
        <v>Q</v>
      </c>
      <c r="B24" s="92"/>
      <c r="C24" s="92">
        <f>'5thOrderLoop'!C82</f>
        <v>0.33333333333333331</v>
      </c>
      <c r="D24" s="49"/>
      <c r="E24" s="64">
        <v>0.63095734448019558</v>
      </c>
      <c r="F24" s="61" t="str">
        <f t="shared" si="16"/>
        <v>3964.42191629501i</v>
      </c>
      <c r="G24" s="83" t="str">
        <f t="shared" si="0"/>
        <v>2450.3056537362-338411.342452388i</v>
      </c>
      <c r="H24" s="62" t="str">
        <f t="shared" si="1"/>
        <v>-58686.4372280156-424.925795617129i</v>
      </c>
      <c r="I24" s="62" t="str">
        <f t="shared" si="2"/>
        <v>80.0013631287375-9.87005619624248E-06i</v>
      </c>
      <c r="J24" s="89" t="str">
        <f t="shared" si="3"/>
        <v>201065.355745929-0.0248061568284308i</v>
      </c>
      <c r="K24" s="89" t="str">
        <f t="shared" si="4"/>
        <v>0.00430182084030917+0.594113700542675i</v>
      </c>
      <c r="L24" s="89" t="str">
        <f t="shared" si="5"/>
        <v>-0.0000170391092188049+1.23375702446865E-07i</v>
      </c>
      <c r="M24" s="63">
        <f t="shared" si="17"/>
        <v>-137.02059991327963</v>
      </c>
      <c r="N24" s="63">
        <f t="shared" si="18"/>
        <v>-152.51029995663981</v>
      </c>
      <c r="O24" s="63" t="str">
        <f t="shared" si="19"/>
        <v>1.30687430090617E-10</v>
      </c>
      <c r="P24" s="63">
        <f t="shared" si="20"/>
        <v>-98.837661821578507</v>
      </c>
      <c r="Q24" s="63" t="str">
        <f t="shared" si="6"/>
        <v>4.09202928578381E-14</v>
      </c>
      <c r="R24" s="63">
        <f t="shared" si="7"/>
        <v>-133.88061266795461</v>
      </c>
      <c r="S24" s="63" t="str">
        <f t="shared" si="8"/>
        <v>1.19616078289069E-13</v>
      </c>
      <c r="T24" s="63">
        <f t="shared" si="21"/>
        <v>-129.22210440390194</v>
      </c>
      <c r="U24" s="63" t="str">
        <f t="shared" si="22"/>
        <v>7.99465921011731E-18</v>
      </c>
      <c r="V24" s="63">
        <f t="shared" si="23"/>
        <v>-170.97200044277969</v>
      </c>
      <c r="W24" s="63">
        <f t="shared" si="9"/>
        <v>102.64873945531943</v>
      </c>
      <c r="X24" s="63" t="str">
        <f t="shared" si="24"/>
        <v>2728.72619227283-353778.841667113i</v>
      </c>
      <c r="Y24" s="90" t="str">
        <f t="shared" si="10"/>
        <v>2.75831437068994E-09-3.4464996213724E-07i</v>
      </c>
      <c r="Z24" s="90" t="str">
        <f t="shared" si="11"/>
        <v>2.72872619227283E-10-3.53778841667113E-08i</v>
      </c>
      <c r="AA24" s="90" t="str">
        <f t="shared" si="12"/>
        <v>1.37915718534497E-09-1.7232498106862E-07i</v>
      </c>
      <c r="AB24" s="90" t="str">
        <f t="shared" si="13"/>
        <v>2.64284501031347E-14</v>
      </c>
      <c r="AC24" s="90">
        <f t="shared" si="25"/>
        <v>-135.77928305328109</v>
      </c>
      <c r="AD24" s="90" t="str">
        <f t="shared" si="14"/>
        <v>1.05418429552495E-18</v>
      </c>
      <c r="AE24" s="63">
        <f t="shared" si="26"/>
        <v>-179.77083457877899</v>
      </c>
      <c r="AF24" s="63" t="str">
        <f t="shared" si="27"/>
        <v>2.60053623115148E-24+4.37905770101505E-47i</v>
      </c>
      <c r="AG24" s="63">
        <f t="shared" si="28"/>
        <v>-235.84937091175999</v>
      </c>
      <c r="AH24" s="116">
        <f t="shared" si="29"/>
        <v>-147.19999999999982</v>
      </c>
      <c r="AI24" s="63" t="str">
        <f t="shared" si="30"/>
        <v>1.21953641806281E-11</v>
      </c>
      <c r="AJ24" s="134">
        <f t="shared" si="31"/>
        <v>-109.13805226159954</v>
      </c>
      <c r="AK24" s="63">
        <f t="shared" si="32"/>
        <v>-98.444521266629081</v>
      </c>
      <c r="AL24" s="49">
        <f t="shared" si="15"/>
        <v>1.1014718246620994E-8</v>
      </c>
    </row>
    <row r="25" spans="1:38" x14ac:dyDescent="0.25">
      <c r="A25" s="92" t="str">
        <f>'5thOrderLoop'!A83</f>
        <v>Ct</v>
      </c>
      <c r="B25" s="92" t="s">
        <v>16</v>
      </c>
      <c r="C25" s="92">
        <f>'5thOrderLoop'!C83</f>
        <v>7.4538228824732632E-10</v>
      </c>
      <c r="D25" s="49"/>
      <c r="E25" s="64">
        <v>0.70794578438414069</v>
      </c>
      <c r="F25" s="61" t="str">
        <f t="shared" si="16"/>
        <v>4448.15455072216i</v>
      </c>
      <c r="G25" s="83" t="str">
        <f t="shared" si="0"/>
        <v>2450.30498315883-301610.118368188i</v>
      </c>
      <c r="H25" s="62" t="str">
        <f t="shared" si="1"/>
        <v>-46616.4010296055-378.715410337576i</v>
      </c>
      <c r="I25" s="62" t="str">
        <f t="shared" si="2"/>
        <v>80.001716057747-0.0000139416909314112i</v>
      </c>
      <c r="J25" s="89" t="str">
        <f t="shared" si="3"/>
        <v>201066.242753276-0.0350392910519228i</v>
      </c>
      <c r="K25" s="89" t="str">
        <f t="shared" si="4"/>
        <v>0.00541561951613183+0.66659889900761i</v>
      </c>
      <c r="L25" s="89" t="str">
        <f t="shared" si="5"/>
        <v>-0.0000214507218376157+1.74271136648818E-07i</v>
      </c>
      <c r="M25" s="63">
        <f t="shared" si="17"/>
        <v>-137.52059991327963</v>
      </c>
      <c r="N25" s="63">
        <f t="shared" si="18"/>
        <v>-152.51029995663981</v>
      </c>
      <c r="O25" s="63" t="str">
        <f t="shared" si="19"/>
        <v>1.16866798148271E-10-3.08148791101958E-33i</v>
      </c>
      <c r="P25" s="63">
        <f t="shared" si="20"/>
        <v>-99.323088543563273</v>
      </c>
      <c r="Q25" s="63" t="str">
        <f t="shared" si="6"/>
        <v>4.0920653901444E-14+1.50463276905253E-36i</v>
      </c>
      <c r="R25" s="63">
        <f t="shared" si="7"/>
        <v>-133.88057434991163</v>
      </c>
      <c r="S25" s="63" t="str">
        <f t="shared" si="8"/>
        <v>1.19617133673017E-13</v>
      </c>
      <c r="T25" s="63">
        <f t="shared" si="21"/>
        <v>-129.22206608585896</v>
      </c>
      <c r="U25" s="63" t="str">
        <f t="shared" si="22"/>
        <v>1.00645852834253E-17</v>
      </c>
      <c r="V25" s="63">
        <f t="shared" si="23"/>
        <v>-169.97204115741113</v>
      </c>
      <c r="W25" s="63">
        <f t="shared" si="9"/>
        <v>102.64873945531943</v>
      </c>
      <c r="X25" s="63" t="str">
        <f t="shared" si="24"/>
        <v>2728.72609328005-315305.960232797i</v>
      </c>
      <c r="Y25" s="90" t="str">
        <f t="shared" si="10"/>
        <v>2.75831427425156E-09-3.07169831705573E-07i</v>
      </c>
      <c r="Z25" s="90" t="str">
        <f t="shared" si="11"/>
        <v>2.72872609328005E-10-3.15305960232797E-08i</v>
      </c>
      <c r="AA25" s="90" t="str">
        <f t="shared" si="12"/>
        <v>1.37915713712578E-09-1.53584915852787E-07i</v>
      </c>
      <c r="AB25" s="90" t="str">
        <f t="shared" si="13"/>
        <v>2.64286808221394E-14</v>
      </c>
      <c r="AC25" s="90">
        <f t="shared" si="25"/>
        <v>-135.77924513976259</v>
      </c>
      <c r="AD25" s="90" t="str">
        <f t="shared" si="14"/>
        <v>1.3271270047682E-18+1.50463276905253E-36i</v>
      </c>
      <c r="AE25" s="63">
        <f t="shared" si="26"/>
        <v>-178.77087513585707</v>
      </c>
      <c r="AF25" s="63" t="str">
        <f t="shared" si="27"/>
        <v>4.12160794849535E-24</v>
      </c>
      <c r="AG25" s="63">
        <f t="shared" si="28"/>
        <v>-233.84933321121281</v>
      </c>
      <c r="AH25" s="116">
        <f t="shared" si="29"/>
        <v>-147.89999999999981</v>
      </c>
      <c r="AI25" s="63" t="str">
        <f t="shared" si="30"/>
        <v>1.0380029927039E-11-3.85185988877447E-34i</v>
      </c>
      <c r="AJ25" s="134">
        <f t="shared" si="31"/>
        <v>-109.83801394355658</v>
      </c>
      <c r="AK25" s="63">
        <f t="shared" si="32"/>
        <v>-98.947153460694622</v>
      </c>
      <c r="AL25" s="49">
        <f t="shared" si="15"/>
        <v>1.1008044412872194E-8</v>
      </c>
    </row>
    <row r="26" spans="1:38" ht="17.25" x14ac:dyDescent="0.25">
      <c r="A26" s="103" t="s">
        <v>174</v>
      </c>
      <c r="B26" s="103" t="s">
        <v>168</v>
      </c>
      <c r="C26" s="103" t="str">
        <f>'5thOrderLoop'!C73</f>
        <v>-229.5</v>
      </c>
      <c r="D26" s="49"/>
      <c r="E26" s="64">
        <v>0.79432823472428471</v>
      </c>
      <c r="F26" s="61" t="str">
        <f t="shared" si="16"/>
        <v>4990.91149349752i</v>
      </c>
      <c r="G26" s="83" t="str">
        <f t="shared" si="0"/>
        <v>2450.30413895221-268811.077306897i</v>
      </c>
      <c r="H26" s="62" t="str">
        <f t="shared" si="1"/>
        <v>-37028.8304830231-337.530348459281i</v>
      </c>
      <c r="I26" s="62" t="str">
        <f t="shared" si="2"/>
        <v>80.0021603575473-0.000019692923571209i</v>
      </c>
      <c r="J26" s="89" t="str">
        <f t="shared" si="3"/>
        <v>201067.359400466-0.0494937152191864i</v>
      </c>
      <c r="K26" s="89" t="str">
        <f t="shared" si="4"/>
        <v>0.00681777852694046+0.747925479053037i</v>
      </c>
      <c r="L26" s="89" t="str">
        <f t="shared" si="5"/>
        <v>-0.0000270044693400688+2.46161544638443E-07i</v>
      </c>
      <c r="M26" s="63">
        <f t="shared" si="17"/>
        <v>-138.02059991327963</v>
      </c>
      <c r="N26" s="63">
        <f t="shared" si="18"/>
        <v>-152.51029995663981</v>
      </c>
      <c r="O26" s="63" t="str">
        <f t="shared" si="19"/>
        <v>1.04549280537568E-10</v>
      </c>
      <c r="P26" s="63">
        <f t="shared" si="20"/>
        <v>-99.806789514607459</v>
      </c>
      <c r="Q26" s="63" t="str">
        <f t="shared" si="6"/>
        <v>4.09211084189162E-14</v>
      </c>
      <c r="R26" s="63">
        <f t="shared" si="7"/>
        <v>-133.88052611184233</v>
      </c>
      <c r="S26" s="63" t="str">
        <f t="shared" si="8"/>
        <v>1.19618462294924E-13</v>
      </c>
      <c r="T26" s="63">
        <f t="shared" si="21"/>
        <v>-129.22201784778966</v>
      </c>
      <c r="U26" s="63" t="str">
        <f t="shared" si="22"/>
        <v>1.26704126334416E-17</v>
      </c>
      <c r="V26" s="63">
        <f t="shared" si="23"/>
        <v>-168.97209241351078</v>
      </c>
      <c r="W26" s="63">
        <f t="shared" si="9"/>
        <v>102.64873945531943</v>
      </c>
      <c r="X26" s="63" t="str">
        <f t="shared" si="24"/>
        <v>2728.72596865555-281016.997322108i</v>
      </c>
      <c r="Y26" s="90" t="str">
        <f t="shared" si="10"/>
        <v>2.75831415284286E-09-2.73765658315198E-07i</v>
      </c>
      <c r="Z26" s="90" t="str">
        <f t="shared" si="11"/>
        <v>2.72872596865555E-10-2.81016997322108E-08i</v>
      </c>
      <c r="AA26" s="90" t="str">
        <f t="shared" si="12"/>
        <v>1.37915707642143E-09-1.36882829157599E-07i</v>
      </c>
      <c r="AB26" s="90" t="str">
        <f t="shared" si="13"/>
        <v>2.64289712742616E-14</v>
      </c>
      <c r="AC26" s="90">
        <f t="shared" si="25"/>
        <v>-135.77919741091011</v>
      </c>
      <c r="AD26" s="90" t="str">
        <f t="shared" si="14"/>
        <v>1.67073426890852E-18</v>
      </c>
      <c r="AE26" s="63">
        <f t="shared" si="26"/>
        <v>-177.77092619360869</v>
      </c>
      <c r="AF26" s="63" t="str">
        <f t="shared" si="27"/>
        <v>6.53238034865003E-24</v>
      </c>
      <c r="AG26" s="63">
        <f t="shared" si="28"/>
        <v>-231.849285363495</v>
      </c>
      <c r="AH26" s="116">
        <f t="shared" si="29"/>
        <v>-148.5999999999998</v>
      </c>
      <c r="AI26" s="63" t="str">
        <f t="shared" si="30"/>
        <v>8.8349364396721E-12-3.85185988877447E-34i</v>
      </c>
      <c r="AJ26" s="134">
        <f t="shared" si="31"/>
        <v>-110.53796570548725</v>
      </c>
      <c r="AK26" s="63">
        <f t="shared" si="32"/>
        <v>-99.447317859443501</v>
      </c>
      <c r="AL26" s="49">
        <f t="shared" si="15"/>
        <v>1.10076277199248E-8</v>
      </c>
    </row>
    <row r="27" spans="1:38" ht="17.25" x14ac:dyDescent="0.25">
      <c r="A27" s="103" t="s">
        <v>175</v>
      </c>
      <c r="B27" s="103" t="s">
        <v>173</v>
      </c>
      <c r="C27" s="103">
        <f>IF(C15="5|6",'5thOrderLoop'!D73,'5thOrderLoop'!D74)</f>
        <v>-263</v>
      </c>
      <c r="D27" s="49"/>
      <c r="E27" s="64">
        <v>0.89125093813374923</v>
      </c>
      <c r="F27" s="61" t="str">
        <f t="shared" si="16"/>
        <v>5599.894799492i</v>
      </c>
      <c r="G27" s="83" t="str">
        <f t="shared" si="0"/>
        <v>2450.30307615947-239578.995921033i</v>
      </c>
      <c r="H27" s="62" t="str">
        <f t="shared" si="1"/>
        <v>-29413.1524954098-300.824109233705i</v>
      </c>
      <c r="I27" s="62" t="str">
        <f t="shared" si="2"/>
        <v>80.0027196796329-0.0000278165701437996i</v>
      </c>
      <c r="J27" s="89" t="str">
        <f t="shared" si="3"/>
        <v>201068.765130191-0.0699106659328398i</v>
      </c>
      <c r="K27" s="89" t="str">
        <f t="shared" si="4"/>
        <v>0.00858294388547575+0.839170952960553i</v>
      </c>
      <c r="L27" s="89" t="str">
        <f t="shared" si="5"/>
        <v>-0.0000339959954127584+3.47707126812708E-07i</v>
      </c>
      <c r="M27" s="63">
        <f t="shared" si="17"/>
        <v>-138.52059991327965</v>
      </c>
      <c r="N27" s="63">
        <f t="shared" si="18"/>
        <v>-152.51029995663981</v>
      </c>
      <c r="O27" s="63" t="str">
        <f t="shared" si="19"/>
        <v>9.35714328678226E-11</v>
      </c>
      <c r="P27" s="63">
        <f t="shared" si="20"/>
        <v>-100.28856720081556</v>
      </c>
      <c r="Q27" s="63" t="str">
        <f t="shared" si="6"/>
        <v>4.09216806074602E-14</v>
      </c>
      <c r="R27" s="63">
        <f t="shared" si="7"/>
        <v>-133.88046538607034</v>
      </c>
      <c r="S27" s="63" t="str">
        <f t="shared" si="8"/>
        <v>1.19620134886807E-13</v>
      </c>
      <c r="T27" s="63">
        <f t="shared" si="21"/>
        <v>-129.22195712201767</v>
      </c>
      <c r="U27" s="63" t="str">
        <f t="shared" si="22"/>
        <v>1.59508674453255E-17</v>
      </c>
      <c r="V27" s="63">
        <f t="shared" si="23"/>
        <v>-167.97215694019062</v>
      </c>
      <c r="W27" s="63">
        <f t="shared" si="9"/>
        <v>102.64873945531943</v>
      </c>
      <c r="X27" s="63" t="str">
        <f t="shared" si="24"/>
        <v>2728.72581176265-250456.959229959i</v>
      </c>
      <c r="Y27" s="90" t="str">
        <f t="shared" si="10"/>
        <v>2.75831399999841E-09-2.43994188880397E-07i</v>
      </c>
      <c r="Z27" s="90" t="str">
        <f t="shared" si="11"/>
        <v>2.72872581176265E-10-2.50456959229959E-08i</v>
      </c>
      <c r="AA27" s="90" t="str">
        <f t="shared" si="12"/>
        <v>1.3791569999992E-09-1.21997094440198E-07i</v>
      </c>
      <c r="AB27" s="90" t="str">
        <f t="shared" si="13"/>
        <v>2.64293369224742E-14-4.93038065763132E-32i</v>
      </c>
      <c r="AC27" s="90">
        <f t="shared" si="25"/>
        <v>-135.77913732612629</v>
      </c>
      <c r="AD27" s="90" t="str">
        <f t="shared" si="14"/>
        <v>2.10329869775941E-18</v>
      </c>
      <c r="AE27" s="63">
        <f t="shared" si="26"/>
        <v>-176.77099047058323</v>
      </c>
      <c r="AF27" s="63" t="str">
        <f t="shared" si="27"/>
        <v>1.03532693206613E-23</v>
      </c>
      <c r="AG27" s="63">
        <f t="shared" si="28"/>
        <v>-229.84922488494817</v>
      </c>
      <c r="AH27" s="116">
        <f t="shared" si="29"/>
        <v>-149.29999999999978</v>
      </c>
      <c r="AI27" s="63" t="str">
        <f t="shared" si="30"/>
        <v>7.51985561549668E-12-3.85185988877447E-34i</v>
      </c>
      <c r="AJ27" s="134">
        <f t="shared" si="31"/>
        <v>-111.23790497971528</v>
      </c>
      <c r="AK27" s="63">
        <f t="shared" si="32"/>
        <v>-99.94483692754514</v>
      </c>
      <c r="AL27" s="49">
        <f t="shared" si="15"/>
        <v>1.1013917686207634E-8</v>
      </c>
    </row>
    <row r="28" spans="1:38" x14ac:dyDescent="0.25">
      <c r="A28" s="103" t="s">
        <v>119</v>
      </c>
      <c r="B28" s="103" t="s">
        <v>163</v>
      </c>
      <c r="C28" s="103" t="str">
        <f>'5thOrderLoop'!C75</f>
        <v>3</v>
      </c>
      <c r="D28" s="49"/>
      <c r="E28" s="64">
        <v>1</v>
      </c>
      <c r="F28" s="61" t="str">
        <f t="shared" si="16"/>
        <v>6283.18530717959i</v>
      </c>
      <c r="G28" s="83" t="str">
        <f t="shared" si="0"/>
        <v>2450.30173818338-213525.982250802i</v>
      </c>
      <c r="H28" s="62" t="str">
        <f t="shared" si="1"/>
        <v>-23363.8044432151-268.109623167751i</v>
      </c>
      <c r="I28" s="62" t="str">
        <f t="shared" si="2"/>
        <v>80.00342379554-0.0000392911961507644i</v>
      </c>
      <c r="J28" s="89" t="str">
        <f t="shared" si="3"/>
        <v>201070.534766479-0.0987495465378479i</v>
      </c>
      <c r="K28" s="89" t="str">
        <f t="shared" si="4"/>
        <v>0.0108050789414056+0.941543773472153i</v>
      </c>
      <c r="L28" s="89" t="str">
        <f t="shared" si="5"/>
        <v>-0.0000427974442487342+4.91139951882074E-07i</v>
      </c>
      <c r="M28" s="63">
        <f t="shared" si="17"/>
        <v>-139.02059991327963</v>
      </c>
      <c r="N28" s="63">
        <f t="shared" si="18"/>
        <v>-152.51029995663981</v>
      </c>
      <c r="O28" s="63" t="str">
        <f t="shared" si="19"/>
        <v>8.37875877630068E-11-6.16297582203915E-33i</v>
      </c>
      <c r="P28" s="63">
        <f t="shared" si="20"/>
        <v>-100.76820312697789</v>
      </c>
      <c r="Q28" s="63" t="str">
        <f t="shared" si="6"/>
        <v>4.09224009263033E-14</v>
      </c>
      <c r="R28" s="63">
        <f t="shared" si="7"/>
        <v>-133.88038894059184</v>
      </c>
      <c r="S28" s="63" t="str">
        <f t="shared" si="8"/>
        <v>1.196222404855E-13</v>
      </c>
      <c r="T28" s="63">
        <f t="shared" si="21"/>
        <v>-129.22188067653914</v>
      </c>
      <c r="U28" s="63" t="str">
        <f t="shared" si="22"/>
        <v>2.00805767655075E-17</v>
      </c>
      <c r="V28" s="63">
        <f t="shared" si="23"/>
        <v>-166.97223817299931</v>
      </c>
      <c r="W28" s="63">
        <f t="shared" si="9"/>
        <v>102.64873945531943</v>
      </c>
      <c r="X28" s="63" t="str">
        <f t="shared" si="24"/>
        <v>2728.72561424617-223220.332818044i</v>
      </c>
      <c r="Y28" s="90" t="str">
        <f t="shared" si="10"/>
        <v>2.75831380757863E-09-2.17460374089841E-07i</v>
      </c>
      <c r="Z28" s="90" t="str">
        <f t="shared" si="11"/>
        <v>2.72872561424617E-10-2.23220332818044E-08i</v>
      </c>
      <c r="AA28" s="90" t="str">
        <f t="shared" si="12"/>
        <v>1.37915690378932E-09-1.0873018704492E-07i</v>
      </c>
      <c r="AB28" s="90" t="str">
        <f t="shared" si="13"/>
        <v>2.64297972314919E-14+4.93038065763132E-32i</v>
      </c>
      <c r="AC28" s="90">
        <f t="shared" si="25"/>
        <v>-135.77906168748046</v>
      </c>
      <c r="AD28" s="90" t="str">
        <f t="shared" si="14"/>
        <v>2.64784684363385E-18+6.01853107621011E-36i</v>
      </c>
      <c r="AE28" s="63">
        <f t="shared" si="26"/>
        <v>-175.77107138903156</v>
      </c>
      <c r="AF28" s="63" t="str">
        <f t="shared" si="27"/>
        <v>1.6409114306569E-23+1.40129846432482E-45i</v>
      </c>
      <c r="AG28" s="63">
        <f t="shared" si="28"/>
        <v>-227.84914859662962</v>
      </c>
      <c r="AH28" s="116">
        <v>-150</v>
      </c>
      <c r="AI28" s="63" t="str">
        <f t="shared" si="30"/>
        <v>6.40054781901032E-12-3.85185988877447E-34i</v>
      </c>
      <c r="AJ28" s="134">
        <f t="shared" si="31"/>
        <v>-111.93782853423693</v>
      </c>
      <c r="AK28" s="63">
        <f t="shared" si="32"/>
        <v>-100.43951051775871</v>
      </c>
      <c r="AL28" s="49">
        <f t="shared" si="15"/>
        <v>1.1027434005380182E-8</v>
      </c>
    </row>
    <row r="29" spans="1:38" x14ac:dyDescent="0.25">
      <c r="A29" s="103" t="s">
        <v>120</v>
      </c>
      <c r="B29" s="103" t="s">
        <v>156</v>
      </c>
      <c r="C29" s="104">
        <v>1.3000000000000001E-9</v>
      </c>
      <c r="D29" s="49"/>
      <c r="E29" s="68">
        <v>1.122018454301966</v>
      </c>
      <c r="F29" s="61" t="str">
        <f t="shared" si="16"/>
        <v>7049.84986645446i</v>
      </c>
      <c r="G29" s="83" t="str">
        <f t="shared" si="0"/>
        <v>2450.30005377237-190306.328633429i</v>
      </c>
      <c r="H29" s="62" t="str">
        <f t="shared" si="1"/>
        <v>-18558.6364835997-238.952788907506i</v>
      </c>
      <c r="I29" s="62" t="str">
        <f t="shared" si="2"/>
        <v>80.0043101791786-0.0000554989497882981i</v>
      </c>
      <c r="J29" s="89" t="str">
        <f t="shared" si="3"/>
        <v>201072.762491541-0.139484074341953i</v>
      </c>
      <c r="K29" s="89" t="str">
        <f t="shared" si="4"/>
        <v>0.0136024600422373+1.05639908996518i</v>
      </c>
      <c r="L29" s="89" t="str">
        <f t="shared" si="5"/>
        <v>-0.0000538772397294877+6.93736872331607E-07i</v>
      </c>
      <c r="M29" s="63">
        <f t="shared" si="17"/>
        <v>-139.52059991327963</v>
      </c>
      <c r="N29" s="63">
        <f t="shared" si="18"/>
        <v>-152.51029995663981</v>
      </c>
      <c r="O29" s="63" t="str">
        <f t="shared" si="19"/>
        <v>7.50679220491563E-11</v>
      </c>
      <c r="P29" s="63">
        <f t="shared" si="20"/>
        <v>-101.2454560564787</v>
      </c>
      <c r="Q29" s="63" t="str">
        <f t="shared" si="6"/>
        <v>4.09233077161942E-14+6.01853107621011E-36i</v>
      </c>
      <c r="R29" s="63">
        <f t="shared" si="7"/>
        <v>-133.88029270736166</v>
      </c>
      <c r="S29" s="63" t="str">
        <f t="shared" si="8"/>
        <v>1.1962489116669E-13</v>
      </c>
      <c r="T29" s="63">
        <f t="shared" si="21"/>
        <v>-129.22178444330899</v>
      </c>
      <c r="U29" s="63" t="str">
        <f t="shared" si="22"/>
        <v>2.52793531113271E-17-4.81482486096809E-35i</v>
      </c>
      <c r="V29" s="63">
        <f t="shared" si="23"/>
        <v>-165.97234043671915</v>
      </c>
      <c r="W29" s="63">
        <f t="shared" si="9"/>
        <v>102.64873945531943</v>
      </c>
      <c r="X29" s="63" t="str">
        <f t="shared" si="24"/>
        <v>2728.72536558771-198945.70460186i</v>
      </c>
      <c r="Y29" s="90" t="str">
        <f t="shared" si="10"/>
        <v>2.75831356533653E-09-1.9381212634224E-07i</v>
      </c>
      <c r="Z29" s="90" t="str">
        <f t="shared" si="11"/>
        <v>2.72872536558771E-10-1.9894570460186E-08i</v>
      </c>
      <c r="AA29" s="90" t="str">
        <f t="shared" si="12"/>
        <v>1.37915678266826E-09-9.690606317112E-08i</v>
      </c>
      <c r="AB29" s="90" t="str">
        <f t="shared" si="13"/>
        <v>2.64303767027429E-14</v>
      </c>
      <c r="AC29" s="90">
        <f t="shared" si="25"/>
        <v>-135.77896646979653</v>
      </c>
      <c r="AD29" s="90" t="str">
        <f t="shared" si="14"/>
        <v>3.33336348981372E-18</v>
      </c>
      <c r="AE29" s="63">
        <f t="shared" si="26"/>
        <v>-174.77117325699527</v>
      </c>
      <c r="AF29" s="63" t="str">
        <f t="shared" si="27"/>
        <v>2.60072692323735E-23+2.80259692864963E-45i</v>
      </c>
      <c r="AG29" s="63">
        <f t="shared" si="28"/>
        <v>-225.84905246403596</v>
      </c>
      <c r="AH29" s="116">
        <f>AH28-(($AH$28-$AH$48)/20)</f>
        <v>-151.25</v>
      </c>
      <c r="AI29" s="63" t="str">
        <f t="shared" si="30"/>
        <v>4.79984010220643E-12</v>
      </c>
      <c r="AJ29" s="134">
        <f t="shared" si="31"/>
        <v>-113.1877323010068</v>
      </c>
      <c r="AK29" s="63">
        <f t="shared" si="32"/>
        <v>-100.96612789463494</v>
      </c>
      <c r="AL29" s="49">
        <f t="shared" si="15"/>
        <v>1.0960054903037212E-8</v>
      </c>
    </row>
    <row r="30" spans="1:38" x14ac:dyDescent="0.25">
      <c r="A30" s="103" t="s">
        <v>121</v>
      </c>
      <c r="B30" s="103" t="s">
        <v>118</v>
      </c>
      <c r="C30" s="115">
        <f>'5thOrderLoop'!C71/'5thOrderLoop'!C70</f>
        <v>6.25E-2</v>
      </c>
      <c r="D30" s="49"/>
      <c r="E30" s="68">
        <v>1.2589254117941702</v>
      </c>
      <c r="F30" s="61" t="str">
        <f t="shared" si="16"/>
        <v>7910.06165022014i</v>
      </c>
      <c r="G30" s="83" t="str">
        <f t="shared" si="0"/>
        <v>2450.29793322626-169611.924372499i</v>
      </c>
      <c r="H30" s="62" t="str">
        <f t="shared" si="1"/>
        <v>-14741.7559005811-212.966712977031i</v>
      </c>
      <c r="I30" s="62" t="str">
        <f t="shared" si="2"/>
        <v>80.005425997531-0.0000783919675885812i</v>
      </c>
      <c r="J30" s="89" t="str">
        <f t="shared" si="3"/>
        <v>201075.566848932-0.197020503579442i</v>
      </c>
      <c r="K30" s="89" t="str">
        <f t="shared" si="4"/>
        <v>0.0171239621384381+1.18525633609574i</v>
      </c>
      <c r="L30" s="89" t="str">
        <f t="shared" si="5"/>
        <v>-0.000067824969136408+9.79899594849133E-07i</v>
      </c>
      <c r="M30" s="63">
        <f t="shared" si="17"/>
        <v>-140.02059991327963</v>
      </c>
      <c r="N30" s="63">
        <f t="shared" si="18"/>
        <v>-152.51029995663981</v>
      </c>
      <c r="O30" s="63" t="str">
        <f t="shared" si="19"/>
        <v>6.72967342115755E-11</v>
      </c>
      <c r="P30" s="63">
        <f t="shared" si="20"/>
        <v>-101.7200601078799</v>
      </c>
      <c r="Q30" s="63" t="str">
        <f t="shared" si="6"/>
        <v>4.09244492371174E-14</v>
      </c>
      <c r="R30" s="63">
        <f t="shared" si="7"/>
        <v>-133.88017156629283</v>
      </c>
      <c r="S30" s="63" t="str">
        <f t="shared" si="8"/>
        <v>1.19628228001463E-13</v>
      </c>
      <c r="T30" s="63">
        <f t="shared" si="21"/>
        <v>-129.22166330224013</v>
      </c>
      <c r="U30" s="63" t="str">
        <f t="shared" si="22"/>
        <v>3.18238766505885E-17</v>
      </c>
      <c r="V30" s="63">
        <f t="shared" si="23"/>
        <v>-164.97246917542685</v>
      </c>
      <c r="W30" s="63">
        <f t="shared" si="9"/>
        <v>102.64873945531943</v>
      </c>
      <c r="X30" s="63" t="str">
        <f t="shared" si="24"/>
        <v>2728.72505254532-177310.96501335i</v>
      </c>
      <c r="Y30" s="90" t="str">
        <f t="shared" si="10"/>
        <v>2.75831326037186E-09-1.72735647757788E-07i</v>
      </c>
      <c r="Z30" s="90" t="str">
        <f t="shared" si="11"/>
        <v>2.72872505254532E-10-1.7731096501335E-08i</v>
      </c>
      <c r="AA30" s="90" t="str">
        <f t="shared" si="12"/>
        <v>1.37915663018593E-09-8.6367823878894E-08i</v>
      </c>
      <c r="AB30" s="90" t="str">
        <f t="shared" si="13"/>
        <v>2.64311061766312E-14</v>
      </c>
      <c r="AC30" s="90">
        <f t="shared" si="25"/>
        <v>-135.77884660691444</v>
      </c>
      <c r="AD30" s="90" t="str">
        <f t="shared" si="14"/>
        <v>4.19633209101204E-18</v>
      </c>
      <c r="AE30" s="63">
        <f t="shared" si="26"/>
        <v>-173.77130149747546</v>
      </c>
      <c r="AF30" s="63" t="str">
        <f t="shared" si="27"/>
        <v>4.1219893102458E-23</v>
      </c>
      <c r="AG30" s="63">
        <f t="shared" si="28"/>
        <v>-223.84893138832226</v>
      </c>
      <c r="AH30" s="116">
        <f t="shared" ref="AH30:AH47" si="33">AH29-(($AH$28-$AH$48)/20)</f>
        <v>-152.5</v>
      </c>
      <c r="AI30" s="63" t="str">
        <f t="shared" si="30"/>
        <v>3.59947269980055E-12</v>
      </c>
      <c r="AJ30" s="134">
        <f t="shared" si="31"/>
        <v>-114.43761115993796</v>
      </c>
      <c r="AK30" s="63">
        <f t="shared" si="32"/>
        <v>-101.48232866281332</v>
      </c>
      <c r="AL30" s="49">
        <f t="shared" si="15"/>
        <v>1.0919246064035452E-8</v>
      </c>
    </row>
    <row r="31" spans="1:38" x14ac:dyDescent="0.25">
      <c r="A31" s="103" t="s">
        <v>124</v>
      </c>
      <c r="B31" s="103" t="s">
        <v>183</v>
      </c>
      <c r="C31" s="117">
        <v>1E-10</v>
      </c>
      <c r="D31" s="49"/>
      <c r="E31" s="68">
        <v>1.4125375446227577</v>
      </c>
      <c r="F31" s="61" t="str">
        <f t="shared" si="16"/>
        <v>8875.23514621324i</v>
      </c>
      <c r="G31" s="83" t="str">
        <f t="shared" si="0"/>
        <v>2450.29526361962-151168.167296157i</v>
      </c>
      <c r="H31" s="62" t="str">
        <f t="shared" si="1"/>
        <v>-11709.8998847879-189.806575937004i</v>
      </c>
      <c r="I31" s="62" t="str">
        <f t="shared" si="2"/>
        <v>80.0068306146611-0.000110727360651834i</v>
      </c>
      <c r="J31" s="89" t="str">
        <f t="shared" si="3"/>
        <v>201079.097036818-0.278288210212532i</v>
      </c>
      <c r="K31" s="89" t="str">
        <f t="shared" si="4"/>
        <v>0.0215569662520366+1.32981883487863i</v>
      </c>
      <c r="L31" s="89" t="str">
        <f t="shared" si="5"/>
        <v>-0.0000853826832642068+1.38409200814397E-06i</v>
      </c>
      <c r="M31" s="63">
        <f t="shared" si="17"/>
        <v>-140.52059991327963</v>
      </c>
      <c r="N31" s="63">
        <f t="shared" si="18"/>
        <v>-152.51029995663981</v>
      </c>
      <c r="O31" s="63" t="str">
        <f t="shared" si="19"/>
        <v>6.0370909271505E-11+1.23259516440783E-32i</v>
      </c>
      <c r="P31" s="63">
        <f t="shared" si="20"/>
        <v>-102.19172283006502</v>
      </c>
      <c r="Q31" s="63" t="str">
        <f t="shared" si="6"/>
        <v>4.09258862318685E-14</v>
      </c>
      <c r="R31" s="63">
        <f t="shared" si="7"/>
        <v>-133.88001907360299</v>
      </c>
      <c r="S31" s="63" t="str">
        <f t="shared" si="8"/>
        <v>1.19632428550008E-13</v>
      </c>
      <c r="T31" s="63">
        <f t="shared" si="21"/>
        <v>-129.22151080955032</v>
      </c>
      <c r="U31" s="63" t="str">
        <f t="shared" si="22"/>
        <v>4.00623919726214E-17+9.62964972193618E-35i</v>
      </c>
      <c r="V31" s="63">
        <f t="shared" si="23"/>
        <v>-163.97263124201262</v>
      </c>
      <c r="W31" s="63">
        <f t="shared" si="9"/>
        <v>102.64873945531943</v>
      </c>
      <c r="X31" s="63" t="str">
        <f t="shared" si="24"/>
        <v>2728.72465844839-158029.034202634i</v>
      </c>
      <c r="Y31" s="90" t="str">
        <f t="shared" si="10"/>
        <v>2.75831287644418E-09-1.53951266270951E-07i</v>
      </c>
      <c r="Z31" s="90" t="str">
        <f t="shared" si="11"/>
        <v>2.72872465844839E-10-1.58029034202634E-08i</v>
      </c>
      <c r="AA31" s="90" t="str">
        <f t="shared" si="12"/>
        <v>1.37915643822209E-09-7.69756331354755E-08i</v>
      </c>
      <c r="AB31" s="90" t="str">
        <f t="shared" si="13"/>
        <v>2.64320244709037E-14-4.93038065763132E-32i</v>
      </c>
      <c r="AC31" s="90">
        <f t="shared" si="25"/>
        <v>-135.77869572287469</v>
      </c>
      <c r="AD31" s="90" t="str">
        <f t="shared" si="14"/>
        <v>5.28267273039411E-18</v>
      </c>
      <c r="AE31" s="63">
        <f t="shared" si="26"/>
        <v>-172.77146293683015</v>
      </c>
      <c r="AF31" s="63" t="str">
        <f t="shared" si="27"/>
        <v>6.53314212414715E-23</v>
      </c>
      <c r="AG31" s="63">
        <f t="shared" si="28"/>
        <v>-221.84877893920785</v>
      </c>
      <c r="AH31" s="116">
        <f t="shared" si="33"/>
        <v>-153.75</v>
      </c>
      <c r="AI31" s="63" t="str">
        <f t="shared" si="30"/>
        <v>2.69931851303433E-12</v>
      </c>
      <c r="AJ31" s="134">
        <f t="shared" si="31"/>
        <v>-115.68745866724812</v>
      </c>
      <c r="AK31" s="63">
        <f t="shared" si="32"/>
        <v>-101.98889599743295</v>
      </c>
      <c r="AL31" s="49">
        <f t="shared" si="15"/>
        <v>1.0902746625667883E-8</v>
      </c>
    </row>
    <row r="32" spans="1:38" x14ac:dyDescent="0.25">
      <c r="A32" s="103" t="s">
        <v>125</v>
      </c>
      <c r="B32" s="103" t="s">
        <v>126</v>
      </c>
      <c r="C32" s="117">
        <v>1E-13</v>
      </c>
      <c r="D32" s="49"/>
      <c r="E32" s="68">
        <v>1.5848931924611176</v>
      </c>
      <c r="F32" s="61" t="str">
        <f t="shared" si="16"/>
        <v>9958.17762032064i</v>
      </c>
      <c r="G32" s="83" t="str">
        <f t="shared" si="0"/>
        <v>2450.29190278832-134730.319953074i</v>
      </c>
      <c r="H32" s="62" t="str">
        <f t="shared" si="1"/>
        <v>-9301.61104766034-169.165056840262i</v>
      </c>
      <c r="I32" s="62" t="str">
        <f t="shared" si="2"/>
        <v>80.0085987407-0.000156399020642825i</v>
      </c>
      <c r="J32" s="89" t="str">
        <f t="shared" si="3"/>
        <v>201083.540822237-0.393073611422145i</v>
      </c>
      <c r="K32" s="89" t="str">
        <f t="shared" si="4"/>
        <v>0.0271373054554381+1.49199561444246i</v>
      </c>
      <c r="L32" s="89" t="str">
        <f t="shared" si="5"/>
        <v>-0.000107484258750532+1.95498775809372E-06i</v>
      </c>
      <c r="M32" s="63">
        <f t="shared" si="17"/>
        <v>-141.02059991327963</v>
      </c>
      <c r="N32" s="63">
        <f t="shared" si="18"/>
        <v>-152.51029995663981</v>
      </c>
      <c r="O32" s="63" t="str">
        <f t="shared" si="19"/>
        <v>5.41985507205897E-11</v>
      </c>
      <c r="P32" s="63">
        <f t="shared" si="20"/>
        <v>-102.66012326422239</v>
      </c>
      <c r="Q32" s="63" t="str">
        <f t="shared" si="6"/>
        <v>4.09276951506135E-14+1.20370621524202E-35i</v>
      </c>
      <c r="R32" s="63">
        <f t="shared" si="7"/>
        <v>-133.87982712025996</v>
      </c>
      <c r="S32" s="63" t="str">
        <f t="shared" si="8"/>
        <v>1.19637716287488E-13</v>
      </c>
      <c r="T32" s="63">
        <f t="shared" si="21"/>
        <v>-129.22131885620726</v>
      </c>
      <c r="U32" s="63" t="str">
        <f t="shared" si="22"/>
        <v>5.04331940330001E-17</v>
      </c>
      <c r="V32" s="63">
        <f t="shared" si="23"/>
        <v>-162.97283526249342</v>
      </c>
      <c r="W32" s="63">
        <f t="shared" si="9"/>
        <v>102.64873945531943</v>
      </c>
      <c r="X32" s="63" t="str">
        <f t="shared" si="24"/>
        <v>2728.72416230992-140844.052662818i</v>
      </c>
      <c r="Y32" s="90" t="str">
        <f t="shared" si="10"/>
        <v>2.75831239310802E-09-1.37209724552072E-07i</v>
      </c>
      <c r="Z32" s="90" t="str">
        <f t="shared" si="11"/>
        <v>2.72872416230992E-10-1.40844052662818E-08i</v>
      </c>
      <c r="AA32" s="90" t="str">
        <f t="shared" si="12"/>
        <v>1.37915619655401E-09-6.8604862276036E-08i</v>
      </c>
      <c r="AB32" s="90" t="str">
        <f t="shared" si="13"/>
        <v>2.64331804414914E-14</v>
      </c>
      <c r="AC32" s="90">
        <f t="shared" si="25"/>
        <v>-135.77850579392299</v>
      </c>
      <c r="AD32" s="90" t="str">
        <f t="shared" si="14"/>
        <v>6.650179735846E-18</v>
      </c>
      <c r="AE32" s="63">
        <f t="shared" si="26"/>
        <v>-171.77166616767383</v>
      </c>
      <c r="AF32" s="63" t="str">
        <f t="shared" si="27"/>
        <v>1.03547900654887E-22</v>
      </c>
      <c r="AG32" s="63">
        <f t="shared" si="28"/>
        <v>-219.84858701630407</v>
      </c>
      <c r="AH32" s="116">
        <f t="shared" si="33"/>
        <v>-155</v>
      </c>
      <c r="AI32" s="63" t="str">
        <f t="shared" si="30"/>
        <v>2.02429279158679E-12</v>
      </c>
      <c r="AJ32" s="134">
        <f t="shared" si="31"/>
        <v>-116.93726671390507</v>
      </c>
      <c r="AK32" s="63">
        <f t="shared" si="32"/>
        <v>-102.48644676419565</v>
      </c>
      <c r="AL32" s="49">
        <f t="shared" si="15"/>
        <v>1.0908897037822629E-8</v>
      </c>
    </row>
    <row r="33" spans="1:38" x14ac:dyDescent="0.25">
      <c r="A33" s="103" t="s">
        <v>122</v>
      </c>
      <c r="B33" s="103"/>
      <c r="C33" s="104">
        <v>1.66E-20</v>
      </c>
      <c r="D33" s="49"/>
      <c r="E33" s="68">
        <v>1.7782794100389276</v>
      </c>
      <c r="F33" s="61" t="str">
        <f t="shared" si="16"/>
        <v>11173.2590612166i</v>
      </c>
      <c r="G33" s="83" t="str">
        <f t="shared" si="0"/>
        <v>2450.28767175922-120080.262095072i</v>
      </c>
      <c r="H33" s="62" t="str">
        <f t="shared" si="1"/>
        <v>-7388.63922675154-150.768255269563i</v>
      </c>
      <c r="I33" s="62" t="str">
        <f t="shared" si="2"/>
        <v>80.0108243908398-0.000220906093437404i</v>
      </c>
      <c r="J33" s="89" t="str">
        <f t="shared" si="3"/>
        <v>201089.13449114-0.555197568191135i</v>
      </c>
      <c r="K33" s="89" t="str">
        <f t="shared" si="4"/>
        <v>0.0341617719639591+1.67392562953691i</v>
      </c>
      <c r="L33" s="89" t="str">
        <f t="shared" si="5"/>
        <v>-0.000135304885497362+2.76132616790699E-06i</v>
      </c>
      <c r="M33" s="63">
        <f t="shared" si="17"/>
        <v>-141.52059991327963</v>
      </c>
      <c r="N33" s="63">
        <f t="shared" si="18"/>
        <v>-152.51029995663981</v>
      </c>
      <c r="O33" s="63" t="str">
        <f t="shared" si="19"/>
        <v>4.86977613703134E-11</v>
      </c>
      <c r="P33" s="63">
        <f t="shared" si="20"/>
        <v>-103.12491002786723</v>
      </c>
      <c r="Q33" s="63" t="str">
        <f t="shared" si="6"/>
        <v>4.09299722059565E-14</v>
      </c>
      <c r="R33" s="63">
        <f t="shared" si="7"/>
        <v>-133.8795855026809</v>
      </c>
      <c r="S33" s="63" t="str">
        <f t="shared" si="8"/>
        <v>1.19644372457597E-13+4.81482486096809E-35i</v>
      </c>
      <c r="T33" s="63">
        <f t="shared" si="21"/>
        <v>-129.22107723862823</v>
      </c>
      <c r="U33" s="63" t="str">
        <f t="shared" si="22"/>
        <v>6.34878749263982E-17</v>
      </c>
      <c r="V33" s="63">
        <f t="shared" si="23"/>
        <v>-161.97309209438242</v>
      </c>
      <c r="W33" s="63">
        <f t="shared" si="9"/>
        <v>102.64873945531943</v>
      </c>
      <c r="X33" s="63" t="str">
        <f t="shared" si="24"/>
        <v>2728.72353770886-125527.986129776i</v>
      </c>
      <c r="Y33" s="90" t="str">
        <f t="shared" si="10"/>
        <v>2.75831178462412E-09-1.22288872514032E-07i</v>
      </c>
      <c r="Z33" s="90" t="str">
        <f t="shared" si="11"/>
        <v>2.72872353770886E-10-1.25527986129776E-08i</v>
      </c>
      <c r="AA33" s="90" t="str">
        <f t="shared" si="12"/>
        <v>1.37915589231206E-09-6.1144436257016E-08i</v>
      </c>
      <c r="AB33" s="90" t="str">
        <f t="shared" si="13"/>
        <v>2.64346355742213E-14-9.86076131526265E-32i</v>
      </c>
      <c r="AC33" s="90">
        <f t="shared" si="25"/>
        <v>-135.77826672366709</v>
      </c>
      <c r="AD33" s="90" t="str">
        <f t="shared" si="14"/>
        <v>8.37158708753452E-18</v>
      </c>
      <c r="AE33" s="63">
        <f t="shared" si="26"/>
        <v>-170.77192200546878</v>
      </c>
      <c r="AF33" s="63" t="str">
        <f t="shared" si="27"/>
        <v>1.64121492539474E-22</v>
      </c>
      <c r="AG33" s="63">
        <f t="shared" si="28"/>
        <v>-217.84834542163875</v>
      </c>
      <c r="AH33" s="116">
        <f t="shared" si="33"/>
        <v>-156.25</v>
      </c>
      <c r="AI33" s="63" t="str">
        <f t="shared" si="30"/>
        <v>1.51808989823289E-12</v>
      </c>
      <c r="AJ33" s="134">
        <f t="shared" si="31"/>
        <v>-118.187025096326</v>
      </c>
      <c r="AK33" s="63">
        <f t="shared" si="32"/>
        <v>-102.97544198446077</v>
      </c>
      <c r="AL33" s="49">
        <f t="shared" si="15"/>
        <v>1.0936574625870263E-8</v>
      </c>
    </row>
    <row r="34" spans="1:38" x14ac:dyDescent="0.25">
      <c r="A34" s="103" t="s">
        <v>117</v>
      </c>
      <c r="B34" s="103" t="s">
        <v>15</v>
      </c>
      <c r="C34" s="103">
        <v>540</v>
      </c>
      <c r="D34" s="49"/>
      <c r="E34" s="68">
        <v>1.9952623149688853</v>
      </c>
      <c r="F34" s="61" t="str">
        <f t="shared" si="16"/>
        <v>12536.6028613816i</v>
      </c>
      <c r="G34" s="83" t="str">
        <f t="shared" si="0"/>
        <v>2450.28234522005-107023.59635384i</v>
      </c>
      <c r="H34" s="62" t="str">
        <f t="shared" si="1"/>
        <v>-5869.11169691119-134.372056845481i</v>
      </c>
      <c r="I34" s="62" t="str">
        <f t="shared" si="2"/>
        <v>80.013625860945-0.000312014333745365i</v>
      </c>
      <c r="J34" s="89" t="str">
        <f t="shared" si="3"/>
        <v>201096.175353463-0.784177551026866i</v>
      </c>
      <c r="K34" s="89" t="str">
        <f t="shared" si="4"/>
        <v>0.0430038402155729+1.87800457703264i</v>
      </c>
      <c r="L34" s="89" t="str">
        <f t="shared" si="5"/>
        <v>-0.000170323261813286+3.90017917186708E-06i</v>
      </c>
      <c r="M34" s="63">
        <f t="shared" si="17"/>
        <v>-142.02059991327963</v>
      </c>
      <c r="N34" s="63">
        <f t="shared" si="18"/>
        <v>-152.51029995663981</v>
      </c>
      <c r="O34" s="63" t="str">
        <f t="shared" si="19"/>
        <v>4.37955569521475E-11+2.46519032881566E-32i</v>
      </c>
      <c r="P34" s="63">
        <f t="shared" si="20"/>
        <v>-103.585699463233</v>
      </c>
      <c r="Q34" s="63" t="str">
        <f t="shared" si="6"/>
        <v>4.09328384709716E-14</v>
      </c>
      <c r="R34" s="63">
        <f t="shared" si="7"/>
        <v>-133.8792813833696</v>
      </c>
      <c r="S34" s="63" t="str">
        <f t="shared" si="8"/>
        <v>1.19652750974868E-13+9.62964972193618E-35i</v>
      </c>
      <c r="T34" s="63">
        <f t="shared" si="21"/>
        <v>-129.2207731193169</v>
      </c>
      <c r="U34" s="63" t="str">
        <f t="shared" si="22"/>
        <v>7.99205492082861E-17</v>
      </c>
      <c r="V34" s="63">
        <f t="shared" si="23"/>
        <v>-160.97341540331269</v>
      </c>
      <c r="W34" s="63">
        <f t="shared" si="9"/>
        <v>102.64873945531943</v>
      </c>
      <c r="X34" s="63" t="str">
        <f t="shared" si="24"/>
        <v>2728.72275138312-111877.599706012i</v>
      </c>
      <c r="Y34" s="90" t="str">
        <f t="shared" si="10"/>
        <v>2.75831101858866E-09-1.08990719515567E-07i</v>
      </c>
      <c r="Z34" s="90" t="str">
        <f t="shared" si="11"/>
        <v>2.72872275138312E-10-1.11877599706012E-08i</v>
      </c>
      <c r="AA34" s="90" t="str">
        <f t="shared" si="12"/>
        <v>1.37915550929433E-09-5.44953597577835E-08i</v>
      </c>
      <c r="AB34" s="90" t="str">
        <f t="shared" si="13"/>
        <v>2.64364672432437E-14-9.86076131526265E-32i</v>
      </c>
      <c r="AC34" s="90">
        <f t="shared" si="25"/>
        <v>-135.77796580928964</v>
      </c>
      <c r="AD34" s="90" t="str">
        <f t="shared" si="14"/>
        <v>1.05384222004188E-17+4.81482486096809E-35i</v>
      </c>
      <c r="AE34" s="63">
        <f t="shared" si="26"/>
        <v>-169.77224406290927</v>
      </c>
      <c r="AF34" s="63" t="str">
        <f t="shared" si="27"/>
        <v>2.60133250585498E-22+1.79366203433577E-43i</v>
      </c>
      <c r="AG34" s="63">
        <f t="shared" si="28"/>
        <v>-215.84804132145314</v>
      </c>
      <c r="AH34" s="116">
        <f t="shared" si="33"/>
        <v>-157.5</v>
      </c>
      <c r="AI34" s="63" t="str">
        <f t="shared" si="30"/>
        <v>1.13848654486588E-12</v>
      </c>
      <c r="AJ34" s="134">
        <f t="shared" si="31"/>
        <v>-119.4367209770148</v>
      </c>
      <c r="AK34" s="63">
        <f t="shared" si="32"/>
        <v>-103.45619782171724</v>
      </c>
      <c r="AL34" s="49">
        <f t="shared" si="15"/>
        <v>1.0985143562356631E-8</v>
      </c>
    </row>
    <row r="35" spans="1:38" x14ac:dyDescent="0.25">
      <c r="A35" s="103" t="s">
        <v>123</v>
      </c>
      <c r="B35" s="103" t="s">
        <v>15</v>
      </c>
      <c r="C35" s="103">
        <v>500</v>
      </c>
      <c r="D35" s="49"/>
      <c r="E35" s="68">
        <v>2.2387211385683456</v>
      </c>
      <c r="F35" s="61" t="str">
        <f t="shared" si="16"/>
        <v>14066.299764725i</v>
      </c>
      <c r="G35" s="83" t="str">
        <f t="shared" si="0"/>
        <v>2450.27563952178-95387.0687057926i</v>
      </c>
      <c r="H35" s="62" t="str">
        <f t="shared" si="1"/>
        <v>-4662.10807618989-119.758893976916i</v>
      </c>
      <c r="I35" s="62" t="str">
        <f t="shared" si="2"/>
        <v>80.0171519780688-0.000440689614877978i</v>
      </c>
      <c r="J35" s="89" t="str">
        <f t="shared" si="3"/>
        <v>201105.037452383-1.10757380529023i</v>
      </c>
      <c r="K35" s="89" t="str">
        <f t="shared" si="4"/>
        <v>0.0541334255551991+2.10691447347367i</v>
      </c>
      <c r="L35" s="89" t="str">
        <f t="shared" si="5"/>
        <v>-0.00021439972586005+5.50862018607001E-06i</v>
      </c>
      <c r="M35" s="63">
        <f t="shared" si="17"/>
        <v>-142.52059991327963</v>
      </c>
      <c r="N35" s="63">
        <f t="shared" si="18"/>
        <v>-152.51029995663981</v>
      </c>
      <c r="O35" s="63" t="str">
        <f t="shared" si="19"/>
        <v>3.94268980688465E-11</v>
      </c>
      <c r="P35" s="63">
        <f t="shared" si="20"/>
        <v>-104.04207389920835</v>
      </c>
      <c r="Q35" s="63" t="str">
        <f t="shared" si="6"/>
        <v>4.093644628617E-14</v>
      </c>
      <c r="R35" s="63">
        <f t="shared" si="7"/>
        <v>-133.87889861363169</v>
      </c>
      <c r="S35" s="63" t="str">
        <f t="shared" si="8"/>
        <v>1.19663297153184E-13</v>
      </c>
      <c r="T35" s="63">
        <f t="shared" si="21"/>
        <v>-129.22039034957902</v>
      </c>
      <c r="U35" s="63" t="str">
        <f t="shared" si="22"/>
        <v>1.00604582049466E-16</v>
      </c>
      <c r="V35" s="63">
        <f t="shared" si="23"/>
        <v>-159.97382238827987</v>
      </c>
      <c r="W35" s="63">
        <f t="shared" si="9"/>
        <v>102.64873945531943</v>
      </c>
      <c r="X35" s="63" t="str">
        <f t="shared" si="24"/>
        <v>2728.7217614583-99711.7610570262i</v>
      </c>
      <c r="Y35" s="90" t="str">
        <f t="shared" si="10"/>
        <v>2.75831005420778E-09-9.71388071457306E-08i</v>
      </c>
      <c r="Z35" s="90" t="str">
        <f t="shared" si="11"/>
        <v>2.7287217614583E-10-9.97117610570262E-09i</v>
      </c>
      <c r="AA35" s="90" t="str">
        <f t="shared" si="12"/>
        <v>1.37915502710389E-09-4.85694035728653E-08i</v>
      </c>
      <c r="AB35" s="90" t="str">
        <f t="shared" si="13"/>
        <v>2.64387728062736E-14-9.86076131526265E-32i</v>
      </c>
      <c r="AC35" s="90">
        <f t="shared" si="25"/>
        <v>-135.77758707122575</v>
      </c>
      <c r="AD35" s="90" t="str">
        <f t="shared" si="14"/>
        <v>1.32658490971428E-17-4.81482486096809E-35i</v>
      </c>
      <c r="AE35" s="63">
        <f t="shared" si="26"/>
        <v>-168.77264947234454</v>
      </c>
      <c r="AF35" s="63" t="str">
        <f t="shared" si="27"/>
        <v>4.12319754890346E-22</v>
      </c>
      <c r="AG35" s="63">
        <f t="shared" si="28"/>
        <v>-213.84765856965953</v>
      </c>
      <c r="AH35" s="116">
        <f t="shared" si="33"/>
        <v>-158.75</v>
      </c>
      <c r="AI35" s="63" t="str">
        <f t="shared" si="30"/>
        <v>8.53819716327075E-13+7.70371977754894E-34i</v>
      </c>
      <c r="AJ35" s="134">
        <f t="shared" si="31"/>
        <v>-120.68633820727683</v>
      </c>
      <c r="AK35" s="63">
        <f t="shared" si="32"/>
        <v>-103.92889651965586</v>
      </c>
      <c r="AL35" s="49">
        <f t="shared" si="15"/>
        <v>1.1054417610314234E-8</v>
      </c>
    </row>
    <row r="36" spans="1:38" x14ac:dyDescent="0.25">
      <c r="A36" s="105"/>
      <c r="B36" s="105"/>
      <c r="C36" s="106"/>
      <c r="D36" s="49"/>
      <c r="E36" s="68">
        <v>2.5118864315095877</v>
      </c>
      <c r="F36" s="61" t="str">
        <f t="shared" si="16"/>
        <v>15782.6479197648i</v>
      </c>
      <c r="G36" s="83" t="str">
        <f t="shared" si="0"/>
        <v>2450.26719757513-85016.2694962128i</v>
      </c>
      <c r="H36" s="62" t="str">
        <f t="shared" si="1"/>
        <v>-3703.35102042353-106.734858871388i</v>
      </c>
      <c r="I36" s="62" t="str">
        <f t="shared" si="2"/>
        <v>80.021589948156-0.000622415340080912i</v>
      </c>
      <c r="J36" s="89" t="str">
        <f t="shared" si="3"/>
        <v>201116.191287761-1.56430036790058i</v>
      </c>
      <c r="K36" s="89" t="str">
        <f t="shared" si="4"/>
        <v>0.0681417027359792+2.36365612252267i</v>
      </c>
      <c r="L36" s="89" t="str">
        <f t="shared" si="5"/>
        <v>-0.000269874351950875+7.78019175102118E-06i</v>
      </c>
      <c r="M36" s="63">
        <f t="shared" si="17"/>
        <v>-143.02059991327963</v>
      </c>
      <c r="N36" s="63">
        <f t="shared" si="18"/>
        <v>-152.51029995663981</v>
      </c>
      <c r="O36" s="63" t="str">
        <f t="shared" si="19"/>
        <v>3.55338276716232E-11</v>
      </c>
      <c r="P36" s="63">
        <f t="shared" si="20"/>
        <v>-104.49358008183947</v>
      </c>
      <c r="Q36" s="63" t="str">
        <f t="shared" si="6"/>
        <v>4.0940987307866E-14+4.81482486096809E-35i</v>
      </c>
      <c r="R36" s="63">
        <f t="shared" si="7"/>
        <v>-133.8784168836653</v>
      </c>
      <c r="S36" s="63" t="str">
        <f t="shared" si="8"/>
        <v>1.19676571232345E-13</v>
      </c>
      <c r="T36" s="63">
        <f t="shared" si="21"/>
        <v>-129.2199086196126</v>
      </c>
      <c r="U36" s="63" t="str">
        <f t="shared" si="22"/>
        <v>1.26638725363385E-16</v>
      </c>
      <c r="V36" s="63">
        <f t="shared" si="23"/>
        <v>-158.97433469358856</v>
      </c>
      <c r="W36" s="63">
        <f t="shared" si="9"/>
        <v>102.64873945531943</v>
      </c>
      <c r="X36" s="63" t="str">
        <f t="shared" si="24"/>
        <v>2728.72051521781-88869.0368952768i</v>
      </c>
      <c r="Y36" s="90" t="str">
        <f t="shared" si="10"/>
        <v>2.75830884012517E-09-8.65758677279806E-08i</v>
      </c>
      <c r="Z36" s="90" t="str">
        <f t="shared" si="11"/>
        <v>2.72872051521781E-10-8.88690368952768E-09i</v>
      </c>
      <c r="AA36" s="90" t="str">
        <f t="shared" si="12"/>
        <v>1.37915442006259E-09-4.32879338639903E-08i</v>
      </c>
      <c r="AB36" s="90" t="str">
        <f t="shared" si="13"/>
        <v>2.64416747493115E-14-9.86076131526265E-32i</v>
      </c>
      <c r="AC36" s="90">
        <f t="shared" si="25"/>
        <v>-135.77711041192816</v>
      </c>
      <c r="AD36" s="90" t="str">
        <f t="shared" si="14"/>
        <v>1.66987522194801E-17</v>
      </c>
      <c r="AE36" s="63">
        <f t="shared" si="26"/>
        <v>-167.77315979417699</v>
      </c>
      <c r="AF36" s="63" t="str">
        <f t="shared" si="27"/>
        <v>6.53555259739173E-22</v>
      </c>
      <c r="AG36" s="63">
        <f t="shared" si="28"/>
        <v>-211.84717685841389</v>
      </c>
      <c r="AH36" s="116">
        <f t="shared" si="33"/>
        <v>-160</v>
      </c>
      <c r="AI36" s="63" t="str">
        <f t="shared" si="30"/>
        <v>6.40345485821822E-13</v>
      </c>
      <c r="AJ36" s="134">
        <f t="shared" si="31"/>
        <v>-121.9358564773104</v>
      </c>
      <c r="AK36" s="63">
        <f t="shared" si="32"/>
        <v>-104.39359693652705</v>
      </c>
      <c r="AL36" s="49">
        <f t="shared" si="15"/>
        <v>1.1144634387169184E-8</v>
      </c>
    </row>
    <row r="37" spans="1:38" x14ac:dyDescent="0.25">
      <c r="A37" s="128" t="s">
        <v>94</v>
      </c>
      <c r="B37" s="128"/>
      <c r="C37" s="128"/>
      <c r="D37" s="49"/>
      <c r="E37" s="68">
        <v>2.818382931264463</v>
      </c>
      <c r="F37" s="61" t="str">
        <f t="shared" si="16"/>
        <v>17708.4222237266i</v>
      </c>
      <c r="G37" s="83" t="str">
        <f t="shared" si="0"/>
        <v>2450.25656983726-75773.5845166037i</v>
      </c>
      <c r="H37" s="62" t="str">
        <f t="shared" si="1"/>
        <v>-2941.78322026716-95.1271304964746i</v>
      </c>
      <c r="I37" s="62" t="str">
        <f t="shared" si="2"/>
        <v>80.0271752021135-0.000879051192858855i</v>
      </c>
      <c r="J37" s="89" t="str">
        <f t="shared" si="3"/>
        <v>201130.228562002-2.2092966156653i</v>
      </c>
      <c r="K37" s="89" t="str">
        <f t="shared" si="4"/>
        <v>0.0857722615880393+2.65158453036507i</v>
      </c>
      <c r="L37" s="89" t="str">
        <f t="shared" si="5"/>
        <v>-0.000339690026417537+0.0000109881399107127i</v>
      </c>
      <c r="M37" s="63">
        <f t="shared" si="17"/>
        <v>-143.52059991327963</v>
      </c>
      <c r="N37" s="63">
        <f t="shared" si="18"/>
        <v>-152.51029995663981</v>
      </c>
      <c r="O37" s="63" t="str">
        <f t="shared" si="19"/>
        <v>3.2064702642884E-11</v>
      </c>
      <c r="P37" s="63">
        <f t="shared" si="20"/>
        <v>-104.93972783226967</v>
      </c>
      <c r="Q37" s="63" t="str">
        <f t="shared" si="6"/>
        <v>4.09467026127023E-14-9.62964972193618E-35i</v>
      </c>
      <c r="R37" s="63">
        <f t="shared" si="7"/>
        <v>-133.87781065692735</v>
      </c>
      <c r="S37" s="63" t="str">
        <f t="shared" si="8"/>
        <v>1.19693277915094E-13</v>
      </c>
      <c r="T37" s="63">
        <f t="shared" si="21"/>
        <v>-129.21930239287465</v>
      </c>
      <c r="U37" s="63" t="str">
        <f t="shared" si="22"/>
        <v>1.59405038482451E-16+7.70371977754894E-34i</v>
      </c>
      <c r="V37" s="63">
        <f t="shared" si="23"/>
        <v>-157.97497955521192</v>
      </c>
      <c r="W37" s="63">
        <f t="shared" si="9"/>
        <v>102.64873945531943</v>
      </c>
      <c r="X37" s="63" t="str">
        <f t="shared" si="24"/>
        <v>2728.71894629561-79205.5508585061i</v>
      </c>
      <c r="Y37" s="90" t="str">
        <f t="shared" si="10"/>
        <v>2.75830731168731E-09-7.7161737473632E-08i</v>
      </c>
      <c r="Z37" s="90" t="str">
        <f t="shared" si="11"/>
        <v>2.72871894629561E-10-7.92055508585061E-09i</v>
      </c>
      <c r="AA37" s="90" t="str">
        <f t="shared" si="12"/>
        <v>1.37915365584365E-09-3.8580868736816E-08i</v>
      </c>
      <c r="AB37" s="90" t="str">
        <f t="shared" si="13"/>
        <v>2.64453271462313E-14+9.86076131526265E-32i</v>
      </c>
      <c r="AC37" s="90">
        <f t="shared" si="25"/>
        <v>-135.77651056101067</v>
      </c>
      <c r="AD37" s="90" t="str">
        <f t="shared" si="14"/>
        <v>2.10193743106668E-17+9.62964972193618E-35i</v>
      </c>
      <c r="AE37" s="63">
        <f t="shared" si="26"/>
        <v>-166.77380215875289</v>
      </c>
      <c r="AF37" s="63" t="str">
        <f t="shared" si="27"/>
        <v>1.03595987538976E-21</v>
      </c>
      <c r="AG37" s="63">
        <f t="shared" si="28"/>
        <v>-209.84657065280246</v>
      </c>
      <c r="AH37" s="116">
        <f t="shared" si="33"/>
        <v>-161.25</v>
      </c>
      <c r="AI37" s="63" t="str">
        <f t="shared" si="30"/>
        <v>4.80258405837013E-13+7.70371977754894E-34i</v>
      </c>
      <c r="AJ37" s="134">
        <f t="shared" si="31"/>
        <v>-123.18525025057248</v>
      </c>
      <c r="AK37" s="63">
        <f t="shared" si="32"/>
        <v>-104.85024448521172</v>
      </c>
      <c r="AL37" s="49">
        <f t="shared" si="15"/>
        <v>1.1256440255563988E-8</v>
      </c>
    </row>
    <row r="38" spans="1:38" x14ac:dyDescent="0.25">
      <c r="A38" s="92" t="s">
        <v>22</v>
      </c>
      <c r="B38" s="92" t="s">
        <v>15</v>
      </c>
      <c r="C38" s="92">
        <f>'5thOrderLoop'!C84</f>
        <v>8200</v>
      </c>
      <c r="D38" s="49"/>
      <c r="E38" s="68">
        <v>3.1622776601683897</v>
      </c>
      <c r="F38" s="61" t="str">
        <f t="shared" si="16"/>
        <v>19869.1765315923i</v>
      </c>
      <c r="G38" s="83" t="str">
        <f t="shared" si="0"/>
        <v>2450.24319037658-67536.3689472852i</v>
      </c>
      <c r="H38" s="62" t="str">
        <f t="shared" si="1"/>
        <v>-2336.84841329143-84.7816813497758i</v>
      </c>
      <c r="I38" s="62" t="str">
        <f t="shared" si="2"/>
        <v>80.034203738099-0.00124145488550577i</v>
      </c>
      <c r="J38" s="89" t="str">
        <f t="shared" si="3"/>
        <v>201147.893199616-3.12011643847168i</v>
      </c>
      <c r="K38" s="89" t="str">
        <f t="shared" si="4"/>
        <v>0.107960188890271+2.97444721434096i</v>
      </c>
      <c r="L38" s="89" t="str">
        <f t="shared" si="5"/>
        <v>-0.000427546726239115+0.0000155181860688757i</v>
      </c>
      <c r="M38" s="63">
        <f t="shared" si="17"/>
        <v>-144.02059991327963</v>
      </c>
      <c r="N38" s="63">
        <f t="shared" si="18"/>
        <v>-152.51029995663981</v>
      </c>
      <c r="O38" s="63" t="str">
        <f t="shared" si="19"/>
        <v>2.8973509318533E-11</v>
      </c>
      <c r="P38" s="63">
        <f t="shared" si="20"/>
        <v>-105.37998899156921</v>
      </c>
      <c r="Q38" s="63" t="str">
        <f t="shared" si="6"/>
        <v>4.0953895374579E-14</v>
      </c>
      <c r="R38" s="63">
        <f t="shared" si="7"/>
        <v>-133.87704783543947</v>
      </c>
      <c r="S38" s="63" t="str">
        <f t="shared" si="8"/>
        <v>1.19714303423654E-13</v>
      </c>
      <c r="T38" s="63">
        <f t="shared" si="21"/>
        <v>-129.2185395713868</v>
      </c>
      <c r="U38" s="63" t="str">
        <f t="shared" si="22"/>
        <v>2.00641550780714E-16</v>
      </c>
      <c r="V38" s="63">
        <f t="shared" si="23"/>
        <v>-156.97579124126372</v>
      </c>
      <c r="W38" s="63">
        <f t="shared" si="9"/>
        <v>102.64873945531943</v>
      </c>
      <c r="X38" s="63" t="str">
        <f t="shared" si="24"/>
        <v>2728.71697114214-70593.0743577958i</v>
      </c>
      <c r="Y38" s="90" t="str">
        <f t="shared" si="10"/>
        <v>2.75830538750053E-09-6.87714965935099E-08i</v>
      </c>
      <c r="Z38" s="90" t="str">
        <f t="shared" si="11"/>
        <v>2.72871697114214E-10-7.05930743577958E-09i</v>
      </c>
      <c r="AA38" s="90" t="str">
        <f t="shared" si="12"/>
        <v>1.37915269375027E-09-3.4385748296755E-08i</v>
      </c>
      <c r="AB38" s="90" t="str">
        <f t="shared" si="13"/>
        <v>2.6449923763652E-14</v>
      </c>
      <c r="AC38" s="90">
        <f t="shared" si="25"/>
        <v>-135.77575575389588</v>
      </c>
      <c r="AD38" s="90" t="str">
        <f t="shared" si="14"/>
        <v>2.64568984203655E-17-1.92592994438724E-34i</v>
      </c>
      <c r="AE38" s="63">
        <f t="shared" si="26"/>
        <v>-165.77461070121029</v>
      </c>
      <c r="AF38" s="63" t="str">
        <f t="shared" si="27"/>
        <v>1.64217416091542E-21</v>
      </c>
      <c r="AG38" s="63">
        <f t="shared" si="28"/>
        <v>-207.84580785637078</v>
      </c>
      <c r="AH38" s="116">
        <f t="shared" si="33"/>
        <v>-162.5</v>
      </c>
      <c r="AI38" s="63" t="str">
        <f t="shared" si="30"/>
        <v>3.60206260803106E-13+7.70371977754894E-34i</v>
      </c>
      <c r="AJ38" s="134">
        <f t="shared" si="31"/>
        <v>-124.43448742908458</v>
      </c>
      <c r="AK38" s="63">
        <f t="shared" si="32"/>
        <v>-105.29868040745576</v>
      </c>
      <c r="AL38" s="49">
        <f t="shared" si="15"/>
        <v>1.1390885290639698E-8</v>
      </c>
    </row>
    <row r="39" spans="1:38" x14ac:dyDescent="0.25">
      <c r="A39" s="92" t="s">
        <v>188</v>
      </c>
      <c r="B39" s="92" t="s">
        <v>15</v>
      </c>
      <c r="C39" s="92">
        <f>'5thOrderLoop'!C85</f>
        <v>3000</v>
      </c>
      <c r="D39" s="49"/>
      <c r="E39" s="68">
        <v>3.548133892335767</v>
      </c>
      <c r="F39" s="61" t="str">
        <f t="shared" si="16"/>
        <v>22293.58274023i</v>
      </c>
      <c r="G39" s="83" t="str">
        <f t="shared" si="0"/>
        <v>2450.22634674228-60195.3199344858i</v>
      </c>
      <c r="H39" s="62" t="str">
        <f t="shared" si="1"/>
        <v>-1856.33161511895-75.5612336076195i</v>
      </c>
      <c r="I39" s="62" t="str">
        <f t="shared" si="2"/>
        <v>80.0430475754321-0.00175317871854096i</v>
      </c>
      <c r="J39" s="89" t="str">
        <f t="shared" si="3"/>
        <v>201170.120187132-4.4062187060573i</v>
      </c>
      <c r="K39" s="89" t="str">
        <f t="shared" si="4"/>
        <v>0.135881046834264+3.33642517532491i</v>
      </c>
      <c r="L39" s="89" t="str">
        <f t="shared" si="5"/>
        <v>-0.000538094692900573+0.0000219147339817598i</v>
      </c>
      <c r="M39" s="63">
        <f t="shared" si="17"/>
        <v>-144.52059991327963</v>
      </c>
      <c r="N39" s="63">
        <f t="shared" si="18"/>
        <v>-152.51029995663981</v>
      </c>
      <c r="O39" s="63" t="str">
        <f t="shared" si="19"/>
        <v>2.62192539043476E-11</v>
      </c>
      <c r="P39" s="63">
        <f t="shared" si="20"/>
        <v>-105.81379670763212</v>
      </c>
      <c r="Q39" s="63" t="str">
        <f t="shared" si="6"/>
        <v>4.09629467544897E-14</v>
      </c>
      <c r="R39" s="63">
        <f t="shared" si="7"/>
        <v>-133.87608809034612</v>
      </c>
      <c r="S39" s="63" t="str">
        <f t="shared" si="8"/>
        <v>1.19740761948078E-13</v>
      </c>
      <c r="T39" s="63">
        <f t="shared" si="21"/>
        <v>-129.21757982629344</v>
      </c>
      <c r="U39" s="63" t="str">
        <f t="shared" si="22"/>
        <v>2.52533334850332E-16-1.54074395550979E-33i</v>
      </c>
      <c r="V39" s="63">
        <f t="shared" si="23"/>
        <v>-155.97681286115585</v>
      </c>
      <c r="W39" s="63">
        <f t="shared" si="9"/>
        <v>102.64873945531943</v>
      </c>
      <c r="X39" s="63" t="str">
        <f t="shared" si="24"/>
        <v>2728.71448457532-62917.3250620511i</v>
      </c>
      <c r="Y39" s="90" t="str">
        <f t="shared" si="10"/>
        <v>2.75830296509687E-09-6.12938116881966E-08i</v>
      </c>
      <c r="Z39" s="90" t="str">
        <f t="shared" si="11"/>
        <v>2.72871448457532E-10-6.29173250620511E-09i</v>
      </c>
      <c r="AA39" s="90" t="str">
        <f t="shared" si="12"/>
        <v>1.37915148254844E-09-3.06469058440983E-08i</v>
      </c>
      <c r="AB39" s="90" t="str">
        <f t="shared" si="13"/>
        <v>2.64557082212399E-14-1.97215226305253E-31i</v>
      </c>
      <c r="AC39" s="90">
        <f t="shared" si="25"/>
        <v>-135.7748060788133</v>
      </c>
      <c r="AD39" s="90" t="str">
        <f t="shared" si="14"/>
        <v>3.32994579150979E-17-1.92592994438724E-34i</v>
      </c>
      <c r="AE39" s="63">
        <f t="shared" si="26"/>
        <v>-164.7756283635548</v>
      </c>
      <c r="AF39" s="63" t="str">
        <f t="shared" si="27"/>
        <v>2.60324585652102E-21</v>
      </c>
      <c r="AG39" s="63">
        <f t="shared" si="28"/>
        <v>-205.84484814184941</v>
      </c>
      <c r="AH39" s="116">
        <f t="shared" si="33"/>
        <v>-163.75</v>
      </c>
      <c r="AI39" s="63" t="str">
        <f t="shared" si="30"/>
        <v>2.70176288660873E-13+7.70371977754894E-34i</v>
      </c>
      <c r="AJ39" s="134">
        <f t="shared" si="31"/>
        <v>-125.68352768399126</v>
      </c>
      <c r="AK39" s="63">
        <f t="shared" si="32"/>
        <v>-105.73865038935317</v>
      </c>
      <c r="AL39" s="49">
        <f t="shared" si="15"/>
        <v>1.1549428118288408E-8</v>
      </c>
    </row>
    <row r="40" spans="1:38" x14ac:dyDescent="0.25">
      <c r="A40" s="92" t="s">
        <v>187</v>
      </c>
      <c r="B40" s="92" t="s">
        <v>16</v>
      </c>
      <c r="C40" s="92">
        <f>'5thOrderLoop'!C86</f>
        <v>6.7999999999999993E-10</v>
      </c>
      <c r="D40" s="49"/>
      <c r="E40" s="68">
        <v>3.9810717055349865</v>
      </c>
      <c r="F40" s="61" t="str">
        <f t="shared" si="16"/>
        <v>25013.8112470458i</v>
      </c>
      <c r="G40" s="83" t="str">
        <f t="shared" ref="G40:G71" si="34">IMDIV(IMDIV(IMPRODUCT(1/$C$25,IMDIV(1,F40),IMSUM(IMDIV(F40,$C$21),1)),(IMSUM(IMDIV(F40,$C$22),1))),IMSUM(IMDIV(IMPOWER(F40,2),POWER($C$23,2)),IMDIV(IMDIV(F40,$C$23),$C$24),1))</f>
        <v>2450.20514203537-53653.0262069396i</v>
      </c>
      <c r="H40" s="62" t="str">
        <f t="shared" ref="H40:H71" si="35">IMDIV(IMDIV(IMPRODUCT($C$19,$C$14,G40),F40),$C$20)</f>
        <v>-1474.64355403367-67.3434375318659i</v>
      </c>
      <c r="I40" s="62" t="str">
        <f t="shared" ref="I40:I71" si="36">IMDIV(IMDIV(IMPRODUCT($C$19,$C$14,G40),F40),IMSUM(1,H40))</f>
        <v>80.0541740769267-0.00247567911207324i</v>
      </c>
      <c r="J40" s="89" t="str">
        <f t="shared" ref="J40:J71" si="37">IMDIV(IMDIV(IMPRODUCT(($C$14*2*PI()),G40),F40),IMSUM(1,H40))</f>
        <v>201198.084135416-6.22206024884067i</v>
      </c>
      <c r="K40" s="89" t="str">
        <f t="shared" ref="K40:K71" si="38">IMDIV(IMDIV(($C$14*2*PI()),F40),IMSUM(1,H40))</f>
        <v>0.17101218118472+3.74217604120451i</v>
      </c>
      <c r="L40" s="89" t="str">
        <f t="shared" ref="L40:L71" si="39">IMDIV(1,IMSUM(1,H40))</f>
        <v>-0.000677175961580463+0.0000309459889007414i</v>
      </c>
      <c r="M40" s="63">
        <f t="shared" si="17"/>
        <v>-145.02059991327963</v>
      </c>
      <c r="N40" s="63">
        <f t="shared" si="18"/>
        <v>-152.51029995663981</v>
      </c>
      <c r="O40" s="63" t="str">
        <f t="shared" ref="O40:O71" si="40">IMPRODUCT((POWER(10,M40/10)+POWER(10,N40/10)),I40,(IMCONJUGATE(I40)))</f>
        <v>2.37654197424662E-11</v>
      </c>
      <c r="P40" s="63">
        <f t="shared" si="20"/>
        <v>-106.24054510835789</v>
      </c>
      <c r="Q40" s="63" t="str">
        <f t="shared" ref="Q40:Q71" si="41">IMPRODUCT(POWER(SQRT($C$33/$C$38),2),J40,(IMCONJUGATE(J40)),0.5)</f>
        <v>4.09743357947988E-14</v>
      </c>
      <c r="R40" s="63">
        <f t="shared" ref="R40:R71" si="42">10*LOG(IMABS(Q40))</f>
        <v>-133.87488077732857</v>
      </c>
      <c r="S40" s="63" t="str">
        <f t="shared" ref="S40:S71" si="43">IMPRODUCT(POWER(SQRT($C$29*$C$13)*SQRT($C$33/$C$34),2)+POWER(SQRT($C$30+$C$29*$C$13)*SQRT($C$33/$C$34),2),J40,(IMCONJUGATE(J40)),0.5)</f>
        <v>1.19774053800167E-13-7.70371977754894E-34i</v>
      </c>
      <c r="T40" s="63">
        <f t="shared" si="21"/>
        <v>-129.21637251327587</v>
      </c>
      <c r="U40" s="63" t="str">
        <f t="shared" ref="U40:U71" si="44">IMPRODUCT(IMPRODUCT(SQRT($C$33*$C$39),IMDIV($C$40/($C$40+$C$41),IMSUM(IMPRODUCT(F40,$C$39,($C$40*$C$41)/($C$40+$C$41)),1))),IMCONJUGATE(IMPRODUCT(SQRT($C$33*$C$39),IMDIV($C$40/($C$40+$C$41),IMSUM(IMPRODUCT(F40,$C$39,($C$40*$C$41)/($C$40+$C$41)),1)))),K40,(IMCONJUGATE(K40)),0.5)</f>
        <v>3.17826522697434E-16</v>
      </c>
      <c r="V40" s="63">
        <f t="shared" si="23"/>
        <v>-154.97809863640566</v>
      </c>
      <c r="W40" s="63">
        <f t="shared" ref="W40:W71" si="45">$C$38*($C$34*($C$30+$C$29*$C$13)+$C$34*$C$29*$C$13)/($C$38+($C$34*($C$30+$C$29*$C$13)+$C$34*$C$29*$C$13))</f>
        <v>102.64873945531943</v>
      </c>
      <c r="X40" s="63" t="str">
        <f t="shared" ref="X40:X71" si="46">IMDIV(IMPRODUCT(IMDIV(1/($C$40+$C$41),F40),IMSUM(1,IMPRODUCT(F40,$C$39,$C$40))),IMSUM(IMPRODUCT(F40,$C$39,($C$40*$C$41)/($C$40+$C$41)),1))</f>
        <v>2728.7113541796-56076.4504408312i</v>
      </c>
      <c r="Y40" s="90" t="str">
        <f t="shared" ref="Y40:Y71" si="47">IMPRODUCT($C$31,IMSUM(1,IMDIV(X40,W40)))</f>
        <v>2.75829991547762E-09-5.46294584213964E-08i</v>
      </c>
      <c r="Z40" s="90" t="str">
        <f t="shared" ref="Z40:Z71" si="48">IMPRODUCT($C$32,X40)</f>
        <v>2.7287113541796E-10-5.60764504408312E-09i</v>
      </c>
      <c r="AA40" s="90" t="str">
        <f t="shared" ref="AA40:AA71" si="49">IMPRODUCT($C$32,$C$35,IMSUM(1,IMDIV(X40,W40)))</f>
        <v>1.37914995773881E-09-2.73147292106982E-08i</v>
      </c>
      <c r="AB40" s="90" t="str">
        <f t="shared" ref="AB40:AB71" si="50">IMPRODUCT(IMSUM(IMPRODUCT(Y40,IMCONJUGATE(Y40)),IMPRODUCT(Z40,IMCONJUGATE(Z40)),IMPRODUCT(AA40,IMCONJUGATE(AA40))),K40,IMCONJUGATE(K40),0.5)</f>
        <v>2.64629867145849E-14+1.97215226305253E-31i</v>
      </c>
      <c r="AC40" s="90">
        <f t="shared" si="25"/>
        <v>-135.77361141234616</v>
      </c>
      <c r="AD40" s="90" t="str">
        <f t="shared" ref="AD40:AD71" si="51">(IMPRODUCT(POWER(10,($C$17-20*LOG(E40*1000/$C$18))/10),L40,(IMCONJUGATE(L40))))</f>
        <v>4.19091723654721E-17+3.85185988877447E-34i</v>
      </c>
      <c r="AE40" s="63">
        <f t="shared" si="26"/>
        <v>-163.77690915655245</v>
      </c>
      <c r="AF40" s="63" t="str">
        <f t="shared" si="27"/>
        <v>4.12701372631548E-21</v>
      </c>
      <c r="AG40" s="63">
        <f t="shared" si="28"/>
        <v>-203.84364086670644</v>
      </c>
      <c r="AH40" s="116">
        <f t="shared" si="33"/>
        <v>-165</v>
      </c>
      <c r="AI40" s="63" t="str">
        <f t="shared" ref="AI40:AI71" si="52">IMPRODUCT(POWER(10,AH40/10),I40,(IMCONJUGATE(I40)))</f>
        <v>2.02659964809244E-13</v>
      </c>
      <c r="AJ40" s="134">
        <f t="shared" si="31"/>
        <v>-126.93232037097367</v>
      </c>
      <c r="AK40" s="63">
        <f t="shared" ref="AK40:AK71" si="53">10*LOG(IMABS(IMSUM(O40,Q40,S40,U40,AB40,AD40,AF40,AI40)))</f>
        <v>-106.16981256864827</v>
      </c>
      <c r="AL40" s="49">
        <f t="shared" ref="AL40:AL71" si="54">10^((AK40+(10*LOG((E41-E40)*1000)))/10)</f>
        <v>1.1733950783590006E-8</v>
      </c>
    </row>
    <row r="41" spans="1:38" x14ac:dyDescent="0.25">
      <c r="A41" s="92" t="s">
        <v>186</v>
      </c>
      <c r="B41" s="92" t="s">
        <v>16</v>
      </c>
      <c r="C41" s="92">
        <f>'5thOrderLoop'!C87</f>
        <v>3.3000000000000002E-11</v>
      </c>
      <c r="D41" s="49"/>
      <c r="E41" s="68">
        <v>4.4668359215096469</v>
      </c>
      <c r="F41" s="61" t="str">
        <f t="shared" si="16"/>
        <v>28065.9578316114i</v>
      </c>
      <c r="G41" s="83" t="str">
        <f t="shared" si="34"/>
        <v>2450.17844716411-47822.6754861736i</v>
      </c>
      <c r="H41" s="62" t="str">
        <f t="shared" si="35"/>
        <v>-1171.45794895027-60.0192479633826i</v>
      </c>
      <c r="I41" s="62" t="str">
        <f t="shared" si="36"/>
        <v>80.0681700641608-0.00349565397732879i</v>
      </c>
      <c r="J41" s="89" t="str">
        <f t="shared" si="37"/>
        <v>201233.259887957-8.78553668374122i</v>
      </c>
      <c r="K41" s="89" t="str">
        <f t="shared" si="38"/>
        <v>0.215209347433861+4.19687850047774i</v>
      </c>
      <c r="L41" s="89" t="str">
        <f t="shared" si="39"/>
        <v>-0.000852125802006614+0.0000436956747164645i</v>
      </c>
      <c r="M41" s="63">
        <f t="shared" si="17"/>
        <v>-145.52059991327963</v>
      </c>
      <c r="N41" s="63">
        <f t="shared" si="18"/>
        <v>-152.51029995663981</v>
      </c>
      <c r="O41" s="63" t="str">
        <f t="shared" si="40"/>
        <v>2.15794842799288E-11</v>
      </c>
      <c r="P41" s="63">
        <f t="shared" si="20"/>
        <v>-106.65958938571434</v>
      </c>
      <c r="Q41" s="63" t="str">
        <f t="shared" si="41"/>
        <v>4.09886642911285E-14+3.85185988877447E-34i</v>
      </c>
      <c r="R41" s="63">
        <f t="shared" si="42"/>
        <v>-133.87336233926584</v>
      </c>
      <c r="S41" s="63" t="str">
        <f t="shared" si="43"/>
        <v>1.19815938117678E-13</v>
      </c>
      <c r="T41" s="63">
        <f t="shared" si="21"/>
        <v>-129.21485407521317</v>
      </c>
      <c r="U41" s="63" t="str">
        <f t="shared" si="44"/>
        <v>3.99970835419019E-16</v>
      </c>
      <c r="V41" s="63">
        <f t="shared" si="23"/>
        <v>-153.97971674867935</v>
      </c>
      <c r="W41" s="63">
        <f t="shared" si="45"/>
        <v>102.64873945531943</v>
      </c>
      <c r="X41" s="63" t="str">
        <f t="shared" si="46"/>
        <v>2728.70741325509-49979.6762430583i</v>
      </c>
      <c r="Y41" s="90" t="str">
        <f t="shared" si="47"/>
        <v>2.7582960762444E-09-4.86900048731853E-08i</v>
      </c>
      <c r="Z41" s="90" t="str">
        <f t="shared" si="48"/>
        <v>2.72870741325509E-10-4.99796762430583E-09i</v>
      </c>
      <c r="AA41" s="90" t="str">
        <f t="shared" si="49"/>
        <v>1.3791480381222E-09-2.43450024365927E-08i</v>
      </c>
      <c r="AB41" s="90" t="str">
        <f t="shared" si="50"/>
        <v>2.64721439246278E-14</v>
      </c>
      <c r="AC41" s="90">
        <f t="shared" si="25"/>
        <v>-135.77210884655179</v>
      </c>
      <c r="AD41" s="90" t="str">
        <f t="shared" si="51"/>
        <v>5.27409441778717E-17</v>
      </c>
      <c r="AE41" s="63">
        <f t="shared" si="26"/>
        <v>-162.77852099655038</v>
      </c>
      <c r="AF41" s="63" t="str">
        <f t="shared" si="27"/>
        <v>6.54316319655959E-21</v>
      </c>
      <c r="AG41" s="63">
        <f t="shared" si="28"/>
        <v>-201.84212247593823</v>
      </c>
      <c r="AH41" s="116">
        <f t="shared" si="33"/>
        <v>-166.25</v>
      </c>
      <c r="AI41" s="63" t="str">
        <f t="shared" si="52"/>
        <v>1.52026678369855E-13+7.70371977754894E-34i</v>
      </c>
      <c r="AJ41" s="134">
        <f t="shared" si="31"/>
        <v>-128.18080193291098</v>
      </c>
      <c r="AK41" s="63">
        <f t="shared" si="53"/>
        <v>-106.59174499723935</v>
      </c>
      <c r="AL41" s="49">
        <f t="shared" si="54"/>
        <v>1.1946784214457584E-8</v>
      </c>
    </row>
    <row r="42" spans="1:38" x14ac:dyDescent="0.25">
      <c r="A42" s="92" t="s">
        <v>185</v>
      </c>
      <c r="B42" s="92" t="s">
        <v>15</v>
      </c>
      <c r="C42" s="92">
        <f>'5thOrderLoop'!C88</f>
        <v>1800</v>
      </c>
      <c r="D42" s="49"/>
      <c r="E42" s="68">
        <v>5.0118723362727406</v>
      </c>
      <c r="F42" s="61" t="str">
        <f t="shared" si="16"/>
        <v>31490.5226247287i</v>
      </c>
      <c r="G42" s="83" t="str">
        <f t="shared" si="34"/>
        <v>2450.14484074519-42626.9025384393i</v>
      </c>
      <c r="H42" s="62" t="str">
        <f t="shared" si="35"/>
        <v>-930.629060826185-53.4914773592719i</v>
      </c>
      <c r="I42" s="62" t="str">
        <f t="shared" si="36"/>
        <v>80.0857718451002-0.00493536928176796i</v>
      </c>
      <c r="J42" s="89" t="str">
        <f t="shared" si="37"/>
        <v>201277.497988509-12.4039359027243i</v>
      </c>
      <c r="K42" s="89" t="str">
        <f t="shared" si="38"/>
        <v>0.270802299305001+4.70627658087749i</v>
      </c>
      <c r="L42" s="89" t="str">
        <f t="shared" si="39"/>
        <v>-0.00107214806375219+0.0000616921160220812i</v>
      </c>
      <c r="M42" s="63">
        <f t="shared" si="17"/>
        <v>-146.02059991327963</v>
      </c>
      <c r="N42" s="63">
        <f t="shared" si="18"/>
        <v>-152.51029995663981</v>
      </c>
      <c r="O42" s="63" t="str">
        <f t="shared" si="40"/>
        <v>1.96324893930724E-11</v>
      </c>
      <c r="P42" s="63">
        <f t="shared" si="20"/>
        <v>-107.07024628513682</v>
      </c>
      <c r="Q42" s="63" t="str">
        <f t="shared" si="41"/>
        <v>4.10066878302545E-14-3.85185988877447E-34i</v>
      </c>
      <c r="R42" s="63">
        <f t="shared" si="42"/>
        <v>-133.87145307892109</v>
      </c>
      <c r="S42" s="63" t="str">
        <f t="shared" si="43"/>
        <v>1.19868623592698E-13</v>
      </c>
      <c r="T42" s="63">
        <f t="shared" si="21"/>
        <v>-129.21294481486842</v>
      </c>
      <c r="U42" s="63" t="str">
        <f t="shared" si="44"/>
        <v>5.03297425846305E-16</v>
      </c>
      <c r="V42" s="63">
        <f t="shared" si="23"/>
        <v>-152.98175290829971</v>
      </c>
      <c r="W42" s="63">
        <f t="shared" si="45"/>
        <v>102.64873945531943</v>
      </c>
      <c r="X42" s="63" t="str">
        <f t="shared" si="46"/>
        <v>2728.70245194126-44546.1019777205i</v>
      </c>
      <c r="Y42" s="90" t="str">
        <f t="shared" si="47"/>
        <v>2.75829124295189E-09-4.33966381020299E-08i</v>
      </c>
      <c r="Z42" s="90" t="str">
        <f t="shared" si="48"/>
        <v>2.72870245194126E-10-4.45461019777205E-09i</v>
      </c>
      <c r="AA42" s="90" t="str">
        <f t="shared" si="49"/>
        <v>1.37914562147595E-09-2.1698319051015E-08i</v>
      </c>
      <c r="AB42" s="90" t="str">
        <f t="shared" si="50"/>
        <v>2.64836628763793E-14</v>
      </c>
      <c r="AC42" s="90">
        <f t="shared" si="25"/>
        <v>-135.7702194910442</v>
      </c>
      <c r="AD42" s="90" t="str">
        <f t="shared" si="51"/>
        <v>6.63659130958538E-17</v>
      </c>
      <c r="AE42" s="63">
        <f t="shared" si="26"/>
        <v>-161.78054925985631</v>
      </c>
      <c r="AF42" s="63" t="str">
        <f t="shared" si="27"/>
        <v>1.037477465752E-20-9.18354961579912E-41i</v>
      </c>
      <c r="AG42" s="63">
        <f t="shared" si="28"/>
        <v>-199.84021327488972</v>
      </c>
      <c r="AH42" s="116">
        <f t="shared" si="33"/>
        <v>-167.5</v>
      </c>
      <c r="AI42" s="63" t="str">
        <f t="shared" si="52"/>
        <v>1.14054055590033E-13-1.54074395550979E-33i</v>
      </c>
      <c r="AJ42" s="134">
        <f t="shared" si="31"/>
        <v>-129.42889267256629</v>
      </c>
      <c r="AK42" s="63">
        <f t="shared" si="53"/>
        <v>-107.00395260806026</v>
      </c>
      <c r="AL42" s="49">
        <f t="shared" si="54"/>
        <v>1.2190745318616947E-8</v>
      </c>
    </row>
    <row r="43" spans="1:38" x14ac:dyDescent="0.25">
      <c r="A43" s="88" t="s">
        <v>184</v>
      </c>
      <c r="B43" s="88" t="s">
        <v>16</v>
      </c>
      <c r="C43" s="92">
        <f>'5thOrderLoop'!C89</f>
        <v>3.3000000000000002E-11</v>
      </c>
      <c r="D43" s="49"/>
      <c r="E43" s="68">
        <v>5.6234132519035116</v>
      </c>
      <c r="F43" s="61" t="str">
        <f t="shared" si="16"/>
        <v>35332.9475205591i</v>
      </c>
      <c r="G43" s="83" t="str">
        <f t="shared" si="34"/>
        <v>2450.10253345646-37996.7625824167i</v>
      </c>
      <c r="H43" s="62" t="str">
        <f t="shared" si="35"/>
        <v>-739.331873181865-47.6735061735562i</v>
      </c>
      <c r="I43" s="62" t="str">
        <f t="shared" si="36"/>
        <v>80.1079024935143-0.00696717882233931i</v>
      </c>
      <c r="J43" s="89" t="str">
        <f t="shared" si="37"/>
        <v>201333.118374489-17.5104302435661i</v>
      </c>
      <c r="K43" s="89" t="str">
        <f t="shared" si="38"/>
        <v>0.340713742760515+5.27672151897885i</v>
      </c>
      <c r="L43" s="89" t="str">
        <f t="shared" si="39"/>
        <v>-0.00134878116892864+0.0000870897352793237i</v>
      </c>
      <c r="M43" s="63">
        <f t="shared" si="17"/>
        <v>-146.52059991327963</v>
      </c>
      <c r="N43" s="63">
        <f t="shared" si="18"/>
        <v>-152.51029995663981</v>
      </c>
      <c r="O43" s="63" t="str">
        <f t="shared" si="40"/>
        <v>1.78986594396153E-11</v>
      </c>
      <c r="P43" s="63">
        <f t="shared" si="20"/>
        <v>-107.47179495264783</v>
      </c>
      <c r="Q43" s="63" t="str">
        <f t="shared" si="41"/>
        <v>4.10293544324869E-14</v>
      </c>
      <c r="R43" s="63">
        <f t="shared" si="42"/>
        <v>-133.86905316292027</v>
      </c>
      <c r="S43" s="63" t="str">
        <f t="shared" si="43"/>
        <v>1.19934881429038E-13</v>
      </c>
      <c r="T43" s="63">
        <f t="shared" si="21"/>
        <v>-129.2105448988676</v>
      </c>
      <c r="U43" s="63" t="str">
        <f t="shared" si="44"/>
        <v>6.33240259222219E-16+6.16297582203915E-33i</v>
      </c>
      <c r="V43" s="63">
        <f t="shared" si="23"/>
        <v>-151.9843148199312</v>
      </c>
      <c r="W43" s="63">
        <f t="shared" si="45"/>
        <v>102.64873945531943</v>
      </c>
      <c r="X43" s="63" t="str">
        <f t="shared" si="46"/>
        <v>2728.69620604287-39703.6274133165i</v>
      </c>
      <c r="Y43" s="90" t="str">
        <f t="shared" si="47"/>
        <v>2.75828515822214E-09-3.86791183447494E-08i</v>
      </c>
      <c r="Z43" s="90" t="str">
        <f t="shared" si="48"/>
        <v>2.72869620604287E-10-3.97036274133165E-09i</v>
      </c>
      <c r="AA43" s="90" t="str">
        <f t="shared" si="49"/>
        <v>1.37914257911107E-09-1.93395591723747E-08i</v>
      </c>
      <c r="AB43" s="90" t="str">
        <f t="shared" si="50"/>
        <v>2.64981496713691E-14+1.97215226305253E-31i</v>
      </c>
      <c r="AC43" s="90">
        <f t="shared" si="25"/>
        <v>-135.76784451179046</v>
      </c>
      <c r="AD43" s="90" t="str">
        <f t="shared" si="51"/>
        <v>8.35006539857669E-17+7.70371977754894E-34i</v>
      </c>
      <c r="AE43" s="63">
        <f t="shared" si="26"/>
        <v>-160.78310123063733</v>
      </c>
      <c r="AF43" s="63" t="str">
        <f t="shared" si="27"/>
        <v>1.64519983265356E-20+1.83670992315982E-40i</v>
      </c>
      <c r="AG43" s="63">
        <f t="shared" si="28"/>
        <v>-197.8378134333843</v>
      </c>
      <c r="AH43" s="116">
        <f t="shared" si="33"/>
        <v>-168.75</v>
      </c>
      <c r="AI43" s="63" t="str">
        <f t="shared" si="52"/>
        <v>8.55757520272696E-14</v>
      </c>
      <c r="AJ43" s="134">
        <f t="shared" si="31"/>
        <v>-130.67649275656538</v>
      </c>
      <c r="AK43" s="63">
        <f t="shared" si="53"/>
        <v>-107.40587369746841</v>
      </c>
      <c r="AL43" s="49">
        <f t="shared" si="54"/>
        <v>1.2469187325218868E-8</v>
      </c>
    </row>
    <row r="44" spans="1:38" x14ac:dyDescent="0.25">
      <c r="A44" s="88" t="s">
        <v>190</v>
      </c>
      <c r="B44" s="88" t="s">
        <v>15</v>
      </c>
      <c r="C44" s="92">
        <f>'5thOrderLoop'!C90</f>
        <v>1800</v>
      </c>
      <c r="D44" s="49"/>
      <c r="E44" s="68">
        <v>6.3095734448019556</v>
      </c>
      <c r="F44" s="61" t="str">
        <f t="shared" si="16"/>
        <v>39644.2191629501i</v>
      </c>
      <c r="G44" s="83" t="str">
        <f t="shared" si="34"/>
        <v>2450.04927282283-33870.8164301108i</v>
      </c>
      <c r="H44" s="62" t="str">
        <f t="shared" si="35"/>
        <v>-587.379113206585-42.4881334688989i</v>
      </c>
      <c r="I44" s="62" t="str">
        <f t="shared" si="36"/>
        <v>80.1357179570209-0.00983391553716812i</v>
      </c>
      <c r="J44" s="89" t="str">
        <f t="shared" si="37"/>
        <v>201403.026259136-24.7153254460727i</v>
      </c>
      <c r="K44" s="89" t="str">
        <f t="shared" si="38"/>
        <v>0.428606909227467+5.9152078198725i</v>
      </c>
      <c r="L44" s="89" t="str">
        <f t="shared" si="39"/>
        <v>-0.00169647446276147+0.000122923944214557i</v>
      </c>
      <c r="M44" s="63">
        <f t="shared" si="17"/>
        <v>-147.02059991327963</v>
      </c>
      <c r="N44" s="63">
        <f t="shared" si="18"/>
        <v>-152.51029995663981</v>
      </c>
      <c r="O44" s="63" t="str">
        <f t="shared" si="40"/>
        <v>1.63550620529101E-11</v>
      </c>
      <c r="P44" s="63">
        <f t="shared" si="20"/>
        <v>-107.86347803774689</v>
      </c>
      <c r="Q44" s="63" t="str">
        <f t="shared" si="41"/>
        <v>4.10578525191024E-14</v>
      </c>
      <c r="R44" s="63">
        <f t="shared" si="42"/>
        <v>-133.86603769614567</v>
      </c>
      <c r="S44" s="63" t="str">
        <f t="shared" si="43"/>
        <v>1.20018185558154E-13</v>
      </c>
      <c r="T44" s="63">
        <f t="shared" si="21"/>
        <v>-129.207529432093</v>
      </c>
      <c r="U44" s="63" t="str">
        <f t="shared" si="44"/>
        <v>7.9661086189241E-16</v>
      </c>
      <c r="V44" s="63">
        <f t="shared" si="23"/>
        <v>-150.98753776224737</v>
      </c>
      <c r="W44" s="63">
        <f t="shared" si="45"/>
        <v>102.64873945531943</v>
      </c>
      <c r="X44" s="63" t="str">
        <f t="shared" si="46"/>
        <v>2728.68834296332-35387.9958513192i</v>
      </c>
      <c r="Y44" s="90" t="str">
        <f t="shared" si="47"/>
        <v>2.75827749804083E-09-3.44748469772712E-08i</v>
      </c>
      <c r="Z44" s="90" t="str">
        <f t="shared" si="48"/>
        <v>2.72868834296332E-10-3.53879958513192E-09i</v>
      </c>
      <c r="AA44" s="90" t="str">
        <f t="shared" si="49"/>
        <v>1.37913874902041E-09-1.72374234886356E-08i</v>
      </c>
      <c r="AB44" s="90" t="str">
        <f t="shared" si="50"/>
        <v>2.65163642015531E-14</v>
      </c>
      <c r="AC44" s="90">
        <f t="shared" si="25"/>
        <v>-135.76486024590449</v>
      </c>
      <c r="AD44" s="90" t="str">
        <f t="shared" si="51"/>
        <v>1.05043415434475E-16+1.54074395550979E-33i</v>
      </c>
      <c r="AE44" s="63">
        <f t="shared" si="26"/>
        <v>-159.78631165819652</v>
      </c>
      <c r="AF44" s="63" t="str">
        <f t="shared" si="27"/>
        <v>2.60927704723176E-20</v>
      </c>
      <c r="AG44" s="63">
        <f t="shared" si="28"/>
        <v>-195.83479806029681</v>
      </c>
      <c r="AH44" s="116">
        <f t="shared" si="33"/>
        <v>-170</v>
      </c>
      <c r="AI44" s="63" t="str">
        <f t="shared" si="52"/>
        <v>6.4217333891931E-14</v>
      </c>
      <c r="AJ44" s="134">
        <f t="shared" si="31"/>
        <v>-131.92347728979075</v>
      </c>
      <c r="AK44" s="63">
        <f t="shared" si="53"/>
        <v>-107.79688587581541</v>
      </c>
      <c r="AL44" s="49">
        <f t="shared" si="54"/>
        <v>1.278606569691152E-8</v>
      </c>
    </row>
    <row r="45" spans="1:38" x14ac:dyDescent="0.25">
      <c r="A45" s="88" t="s">
        <v>189</v>
      </c>
      <c r="B45" s="88" t="s">
        <v>16</v>
      </c>
      <c r="C45" s="92">
        <f>'5thOrderLoop'!C91</f>
        <v>2.6999999999999997E-11</v>
      </c>
      <c r="D45" s="49"/>
      <c r="E45" s="68">
        <v>7.0794578438414062</v>
      </c>
      <c r="F45" s="61" t="str">
        <f t="shared" si="16"/>
        <v>44481.5455072216i</v>
      </c>
      <c r="G45" s="83" t="str">
        <f t="shared" si="34"/>
        <v>2449.98222338086-30194.3152208705i</v>
      </c>
      <c r="H45" s="62" t="str">
        <f t="shared" si="35"/>
        <v>-466.67874233323-37.8665525077334i</v>
      </c>
      <c r="I45" s="62" t="str">
        <f t="shared" si="36"/>
        <v>80.1706638079811-0.0138774856110214i</v>
      </c>
      <c r="J45" s="89" t="str">
        <f t="shared" si="37"/>
        <v>201490.854762056-34.8779254766166i</v>
      </c>
      <c r="K45" s="89" t="str">
        <f t="shared" si="38"/>
        <v>0.539067909889387+6.62939849774348i</v>
      </c>
      <c r="L45" s="89" t="str">
        <f t="shared" si="39"/>
        <v>-0.00213329759976366+0.000173468570137709i</v>
      </c>
      <c r="M45" s="63">
        <f t="shared" si="17"/>
        <v>-147.52059991327965</v>
      </c>
      <c r="N45" s="63">
        <f t="shared" si="18"/>
        <v>-152.51029995663981</v>
      </c>
      <c r="O45" s="63" t="str">
        <f t="shared" si="40"/>
        <v>1.49813072668711E-11</v>
      </c>
      <c r="P45" s="63">
        <f t="shared" si="20"/>
        <v>-108.24450288504552</v>
      </c>
      <c r="Q45" s="63" t="str">
        <f t="shared" si="41"/>
        <v>4.10936702298138E-14</v>
      </c>
      <c r="R45" s="63">
        <f t="shared" si="42"/>
        <v>-133.86225068536814</v>
      </c>
      <c r="S45" s="63" t="str">
        <f t="shared" si="43"/>
        <v>1.20122886032891E-13</v>
      </c>
      <c r="T45" s="63">
        <f t="shared" si="21"/>
        <v>-129.20374242131547</v>
      </c>
      <c r="U45" s="63" t="str">
        <f t="shared" si="44"/>
        <v>1.00193799365443E-15</v>
      </c>
      <c r="V45" s="63">
        <f t="shared" si="23"/>
        <v>-149.9915915456356</v>
      </c>
      <c r="W45" s="63">
        <f t="shared" si="45"/>
        <v>102.64873945531943</v>
      </c>
      <c r="X45" s="63" t="str">
        <f t="shared" si="46"/>
        <v>2728.67844399709-31541.9414784438i</v>
      </c>
      <c r="Y45" s="90" t="str">
        <f t="shared" si="47"/>
        <v>2.7582678545067E-09-3.07280358685488E-08i</v>
      </c>
      <c r="Z45" s="90" t="str">
        <f t="shared" si="48"/>
        <v>2.72867844399709E-10-3.15419414784438E-09i</v>
      </c>
      <c r="AA45" s="90" t="str">
        <f t="shared" si="49"/>
        <v>1.37913392725335E-09-1.53640179342744E-08i</v>
      </c>
      <c r="AB45" s="90" t="str">
        <f t="shared" si="50"/>
        <v>2.65392581516216E-14-3.94430452610506E-31i</v>
      </c>
      <c r="AC45" s="90">
        <f t="shared" si="25"/>
        <v>-135.76111221078216</v>
      </c>
      <c r="AD45" s="90" t="str">
        <f t="shared" si="51"/>
        <v>1.32118925000448E-16+1.54074395550979E-33i</v>
      </c>
      <c r="AE45" s="63">
        <f t="shared" si="26"/>
        <v>-158.79034968649052</v>
      </c>
      <c r="AF45" s="63" t="str">
        <f t="shared" si="27"/>
        <v>4.13903294537846E-20</v>
      </c>
      <c r="AG45" s="63">
        <f t="shared" si="28"/>
        <v>-193.83101116740306</v>
      </c>
      <c r="AH45" s="116">
        <f t="shared" si="33"/>
        <v>-171.25</v>
      </c>
      <c r="AI45" s="63" t="str">
        <f t="shared" si="52"/>
        <v>4.81982169388163E-14</v>
      </c>
      <c r="AJ45" s="134">
        <f t="shared" si="31"/>
        <v>-133.16969027901328</v>
      </c>
      <c r="AK45" s="63">
        <f t="shared" si="53"/>
        <v>-108.17631136472701</v>
      </c>
      <c r="AL45" s="49">
        <f t="shared" si="54"/>
        <v>1.3146022845977049E-8</v>
      </c>
    </row>
    <row r="46" spans="1:38" x14ac:dyDescent="0.25">
      <c r="A46" s="49"/>
      <c r="B46" s="49"/>
      <c r="C46" s="49"/>
      <c r="D46" s="49"/>
      <c r="E46" s="68">
        <v>7.9432823472428469</v>
      </c>
      <c r="F46" s="61" t="str">
        <f t="shared" si="16"/>
        <v>49909.1149349752i</v>
      </c>
      <c r="G46" s="83" t="str">
        <f t="shared" si="34"/>
        <v>2449.89781586543-26918.4739298056i</v>
      </c>
      <c r="H46" s="62" t="str">
        <f t="shared" si="35"/>
        <v>-370.803025676828-33.7474377295992i</v>
      </c>
      <c r="I46" s="62" t="str">
        <f t="shared" si="36"/>
        <v>80.2145446552721-0.0195788890065377i</v>
      </c>
      <c r="J46" s="89" t="str">
        <f t="shared" si="37"/>
        <v>201601.139360043-49.2071150947475i</v>
      </c>
      <c r="K46" s="89" t="str">
        <f t="shared" si="38"/>
        <v>0.677829924888926+7.42763225838535i</v>
      </c>
      <c r="L46" s="89" t="str">
        <f t="shared" si="39"/>
        <v>-0.00268180819090199+0.000244736112581961i</v>
      </c>
      <c r="M46" s="63">
        <f t="shared" si="17"/>
        <v>-148.02059991327963</v>
      </c>
      <c r="N46" s="63">
        <f t="shared" si="18"/>
        <v>-152.51029995663981</v>
      </c>
      <c r="O46" s="63" t="str">
        <f t="shared" si="40"/>
        <v>1.37592810699611E-11-3.94430452610506E-31i</v>
      </c>
      <c r="P46" s="63">
        <f t="shared" si="20"/>
        <v>-108.61404257634348</v>
      </c>
      <c r="Q46" s="63" t="str">
        <f t="shared" si="41"/>
        <v>4.11386684200785E-14</v>
      </c>
      <c r="R46" s="63">
        <f t="shared" si="42"/>
        <v>-133.85749769694559</v>
      </c>
      <c r="S46" s="63" t="str">
        <f t="shared" si="43"/>
        <v>1.20254422409433E-13</v>
      </c>
      <c r="T46" s="63">
        <f t="shared" si="21"/>
        <v>-129.19898943289292</v>
      </c>
      <c r="U46" s="63" t="str">
        <f t="shared" si="44"/>
        <v>1.25988551647768E-15</v>
      </c>
      <c r="V46" s="63">
        <f t="shared" si="23"/>
        <v>-148.99668916645061</v>
      </c>
      <c r="W46" s="63">
        <f t="shared" si="45"/>
        <v>102.64873945531943</v>
      </c>
      <c r="X46" s="63" t="str">
        <f t="shared" si="46"/>
        <v>2728.66598203907-28114.4294835585i</v>
      </c>
      <c r="Y46" s="90" t="str">
        <f t="shared" si="47"/>
        <v>2.758255714116E-09-2.73889671054324E-08i</v>
      </c>
      <c r="Z46" s="90" t="str">
        <f t="shared" si="48"/>
        <v>2.72866598203907E-10-2.81144294835585E-09i</v>
      </c>
      <c r="AA46" s="90" t="str">
        <f t="shared" si="49"/>
        <v>1.379127857058E-09-1.36944835527162E-08i</v>
      </c>
      <c r="AB46" s="90" t="str">
        <f t="shared" si="50"/>
        <v>2.65680217988103E-14</v>
      </c>
      <c r="AC46" s="90">
        <f t="shared" si="25"/>
        <v>-135.75640781075015</v>
      </c>
      <c r="AD46" s="90" t="str">
        <f t="shared" si="51"/>
        <v>1.66133514570914E-16</v>
      </c>
      <c r="AE46" s="63">
        <f t="shared" si="26"/>
        <v>-157.79542747289827</v>
      </c>
      <c r="AF46" s="63" t="str">
        <f t="shared" si="27"/>
        <v>6.56710813136704E-20</v>
      </c>
      <c r="AG46" s="63">
        <f t="shared" si="28"/>
        <v>-191.82625832734882</v>
      </c>
      <c r="AH46" s="116">
        <f t="shared" si="33"/>
        <v>-172.5</v>
      </c>
      <c r="AI46" s="63" t="str">
        <f t="shared" si="52"/>
        <v>3.61831415314237E-14</v>
      </c>
      <c r="AJ46" s="134">
        <f t="shared" si="31"/>
        <v>-134.41493729059073</v>
      </c>
      <c r="AK46" s="63">
        <f t="shared" si="53"/>
        <v>-108.54342143712981</v>
      </c>
      <c r="AL46" s="49">
        <f t="shared" si="54"/>
        <v>1.3554496053227758E-8</v>
      </c>
    </row>
    <row r="47" spans="1:38" x14ac:dyDescent="0.25">
      <c r="A47" s="49"/>
      <c r="B47" s="49"/>
      <c r="C47" s="49"/>
      <c r="D47" s="49"/>
      <c r="E47" s="68">
        <v>8.9125093813374914</v>
      </c>
      <c r="F47" s="61" t="str">
        <f t="shared" si="16"/>
        <v>55998.94799492i</v>
      </c>
      <c r="G47" s="83" t="str">
        <f t="shared" si="34"/>
        <v>2449.79155742731-23999.824009603i</v>
      </c>
      <c r="H47" s="62" t="str">
        <f t="shared" si="35"/>
        <v>-294.646231713118-30.0761309995335i</v>
      </c>
      <c r="I47" s="62" t="str">
        <f t="shared" si="36"/>
        <v>80.2696083457243-0.0276140983566029i</v>
      </c>
      <c r="J47" s="89" t="str">
        <f t="shared" si="37"/>
        <v>201739.529508367-69.4017988261971i</v>
      </c>
      <c r="K47" s="89" t="str">
        <f t="shared" si="38"/>
        <v>0.852047018763436+8.31890233175804i</v>
      </c>
      <c r="L47" s="89" t="str">
        <f t="shared" si="39"/>
        <v>-0.00337010432155563+0.000345176229457717i</v>
      </c>
      <c r="M47" s="63">
        <f t="shared" si="17"/>
        <v>-148.52059991327965</v>
      </c>
      <c r="N47" s="63">
        <f t="shared" si="18"/>
        <v>-152.51029995663981</v>
      </c>
      <c r="O47" s="63" t="str">
        <f t="shared" si="40"/>
        <v>1.26729099341364E-11</v>
      </c>
      <c r="P47" s="63">
        <f t="shared" si="20"/>
        <v>-108.97123651633152</v>
      </c>
      <c r="Q47" s="63" t="str">
        <f t="shared" si="41"/>
        <v>4.11951699314385E-14</v>
      </c>
      <c r="R47" s="63">
        <f t="shared" si="42"/>
        <v>-133.85153701323492</v>
      </c>
      <c r="S47" s="63" t="str">
        <f t="shared" si="43"/>
        <v>1.20419584697733E-13</v>
      </c>
      <c r="T47" s="63">
        <f t="shared" si="21"/>
        <v>-129.19302874918225</v>
      </c>
      <c r="U47" s="63" t="str">
        <f t="shared" si="44"/>
        <v>1.58376319534126E-15</v>
      </c>
      <c r="V47" s="63">
        <f t="shared" si="23"/>
        <v>-148.00309753709118</v>
      </c>
      <c r="W47" s="63">
        <f t="shared" si="45"/>
        <v>102.64873945531943</v>
      </c>
      <c r="X47" s="63" t="str">
        <f t="shared" si="46"/>
        <v>2728.65029352534-25059.9788559851i</v>
      </c>
      <c r="Y47" s="90" t="str">
        <f t="shared" si="47"/>
        <v>2.75824043042736E-09-2.44133332654252E-08i</v>
      </c>
      <c r="Z47" s="90" t="str">
        <f t="shared" si="48"/>
        <v>2.72865029352534E-10-2.50599788559851E-09i</v>
      </c>
      <c r="AA47" s="90" t="str">
        <f t="shared" si="49"/>
        <v>1.37912021521368E-09-1.22066666327126E-08i</v>
      </c>
      <c r="AB47" s="90" t="str">
        <f t="shared" si="50"/>
        <v>2.66041412990841E-14+3.94430452610506E-31i</v>
      </c>
      <c r="AC47" s="90">
        <f t="shared" si="25"/>
        <v>-135.75050754220479</v>
      </c>
      <c r="AD47" s="90" t="str">
        <f t="shared" si="51"/>
        <v>2.08842514060635E-16</v>
      </c>
      <c r="AE47" s="63">
        <f t="shared" si="26"/>
        <v>-156.80181087362828</v>
      </c>
      <c r="AF47" s="63" t="str">
        <f t="shared" si="27"/>
        <v>1.04224595181669E-19</v>
      </c>
      <c r="AG47" s="63">
        <f t="shared" si="28"/>
        <v>-189.82029783039837</v>
      </c>
      <c r="AH47" s="116">
        <f t="shared" si="33"/>
        <v>-173.75</v>
      </c>
      <c r="AI47" s="63" t="str">
        <f t="shared" si="52"/>
        <v>2.71707945952644E-14+1.54074395550979E-33i</v>
      </c>
      <c r="AJ47" s="134">
        <f t="shared" si="31"/>
        <v>-135.65897660688012</v>
      </c>
      <c r="AK47" s="63">
        <f t="shared" si="53"/>
        <v>-108.89743971687636</v>
      </c>
      <c r="AL47" s="49">
        <f t="shared" si="54"/>
        <v>1.401785448756436E-8</v>
      </c>
    </row>
    <row r="48" spans="1:38" x14ac:dyDescent="0.25">
      <c r="A48" s="49"/>
      <c r="B48" s="49"/>
      <c r="C48" s="49"/>
      <c r="D48" s="49"/>
      <c r="E48" s="68">
        <v>10</v>
      </c>
      <c r="F48" s="61" t="str">
        <f t="shared" si="16"/>
        <v>62831.8530717959i</v>
      </c>
      <c r="G48" s="83" t="str">
        <f t="shared" si="34"/>
        <v>2449.65779283834-21399.636574425i</v>
      </c>
      <c r="H48" s="62" t="str">
        <f t="shared" si="35"/>
        <v>-234.152733456801-26.8039163296991i</v>
      </c>
      <c r="I48" s="62" t="str">
        <f t="shared" si="36"/>
        <v>80.3386470016222-0.0389318442130368i</v>
      </c>
      <c r="J48" s="89" t="str">
        <f t="shared" si="37"/>
        <v>201913.042575713-97.8463966165349i</v>
      </c>
      <c r="K48" s="89" t="str">
        <f t="shared" si="38"/>
        <v>1.07062571585846+9.312792544609i</v>
      </c>
      <c r="L48" s="89" t="str">
        <f t="shared" si="39"/>
        <v>-0.00423308752027682+0.000486648052662938i</v>
      </c>
      <c r="M48" s="63">
        <f t="shared" si="17"/>
        <v>-149.02059991327963</v>
      </c>
      <c r="N48" s="63">
        <f t="shared" si="18"/>
        <v>-152.51029995663981</v>
      </c>
      <c r="O48" s="63" t="str">
        <f t="shared" si="40"/>
        <v>1.17079532477881E-11-7.88860905221012E-31i</v>
      </c>
      <c r="P48" s="63">
        <f t="shared" si="20"/>
        <v>-109.3151902045999</v>
      </c>
      <c r="Q48" s="63" t="str">
        <f t="shared" si="41"/>
        <v>4.12660678767832E-14</v>
      </c>
      <c r="R48" s="63">
        <f t="shared" si="42"/>
        <v>-133.84406911805246</v>
      </c>
      <c r="S48" s="63" t="str">
        <f t="shared" si="43"/>
        <v>1.20626829895374E-13</v>
      </c>
      <c r="T48" s="63">
        <f t="shared" si="21"/>
        <v>-129.18556085399982</v>
      </c>
      <c r="U48" s="63" t="str">
        <f t="shared" si="44"/>
        <v>1.99014594676682E-15</v>
      </c>
      <c r="V48" s="63">
        <f t="shared" si="23"/>
        <v>-147.01115073564512</v>
      </c>
      <c r="W48" s="63">
        <f t="shared" si="45"/>
        <v>102.64873945531943</v>
      </c>
      <c r="X48" s="63" t="str">
        <f t="shared" si="46"/>
        <v>2728.63054311319-22338.0588790431i</v>
      </c>
      <c r="Y48" s="90" t="str">
        <f t="shared" si="47"/>
        <v>2.75822118965318E-09-2.17616494830571E-08i</v>
      </c>
      <c r="Z48" s="90" t="str">
        <f t="shared" si="48"/>
        <v>2.72863054311319E-10-2.23380588790431E-09i</v>
      </c>
      <c r="AA48" s="90" t="str">
        <f t="shared" si="49"/>
        <v>1.37911059482659E-09-1.08808247415286E-08i</v>
      </c>
      <c r="AB48" s="90" t="str">
        <f t="shared" si="50"/>
        <v>2.66494682613691E-14</v>
      </c>
      <c r="AC48" s="90">
        <f t="shared" si="25"/>
        <v>-135.74311452057938</v>
      </c>
      <c r="AD48" s="90" t="str">
        <f t="shared" si="51"/>
        <v>2.62431967412041E-16</v>
      </c>
      <c r="AE48" s="63">
        <f t="shared" si="26"/>
        <v>-155.80983263713145</v>
      </c>
      <c r="AF48" s="63" t="str">
        <f t="shared" si="27"/>
        <v>1.65469129804095E-19-1.17549435082229E-38i</v>
      </c>
      <c r="AG48" s="63">
        <f t="shared" si="28"/>
        <v>-187.81283017031782</v>
      </c>
      <c r="AH48" s="116">
        <v>-175</v>
      </c>
      <c r="AI48" s="63" t="str">
        <f t="shared" si="52"/>
        <v>2.04102878094394E-14</v>
      </c>
      <c r="AJ48" s="134">
        <f t="shared" si="31"/>
        <v>-136.90150871169766</v>
      </c>
      <c r="AK48" s="63">
        <f t="shared" si="53"/>
        <v>-109.23754399690047</v>
      </c>
      <c r="AL48" s="49">
        <f t="shared" si="54"/>
        <v>1.4543573144445672E-8</v>
      </c>
    </row>
    <row r="49" spans="1:40" ht="12.75" customHeight="1" x14ac:dyDescent="0.25">
      <c r="A49" s="49"/>
      <c r="B49" s="49"/>
      <c r="C49" s="49"/>
      <c r="D49" s="49"/>
      <c r="E49" s="68">
        <v>11.220184543019659</v>
      </c>
      <c r="F49" s="61" t="str">
        <f t="shared" si="16"/>
        <v>70498.4986645446i</v>
      </c>
      <c r="G49" s="83" t="str">
        <f t="shared" si="34"/>
        <v>2449.48940406803-19083.4084700973i</v>
      </c>
      <c r="H49" s="62" t="str">
        <f t="shared" si="35"/>
        <v>-186.101031535727-23.8873734504606i</v>
      </c>
      <c r="I49" s="62" t="str">
        <f t="shared" si="36"/>
        <v>80.4251165035028-0.0548614807538925i</v>
      </c>
      <c r="J49" s="89" t="str">
        <f t="shared" si="37"/>
        <v>202130.364137206-137.881939921343i</v>
      </c>
      <c r="K49" s="89" t="str">
        <f t="shared" si="38"/>
        <v>1.34462202020571+10.419350770477i</v>
      </c>
      <c r="L49" s="89" t="str">
        <f t="shared" si="39"/>
        <v>-0.0053139562937821+0.000685768509423451i</v>
      </c>
      <c r="M49" s="63">
        <f t="shared" si="17"/>
        <v>-149.52059991327963</v>
      </c>
      <c r="N49" s="63">
        <f t="shared" si="18"/>
        <v>-152.51029995663981</v>
      </c>
      <c r="O49" s="63" t="str">
        <f t="shared" si="40"/>
        <v>1.08518208934825E-11</v>
      </c>
      <c r="P49" s="63">
        <f t="shared" si="20"/>
        <v>-109.64497382770203</v>
      </c>
      <c r="Q49" s="63" t="str">
        <f t="shared" si="41"/>
        <v>4.13549555947136E-14</v>
      </c>
      <c r="R49" s="63">
        <f t="shared" si="42"/>
        <v>-133.83472441166225</v>
      </c>
      <c r="S49" s="63" t="str">
        <f t="shared" si="43"/>
        <v>1.20886661863436E-13</v>
      </c>
      <c r="T49" s="63">
        <f t="shared" si="21"/>
        <v>-129.17621614760958</v>
      </c>
      <c r="U49" s="63" t="str">
        <f t="shared" si="44"/>
        <v>2.49961643698744E-15</v>
      </c>
      <c r="V49" s="63">
        <f t="shared" si="23"/>
        <v>-146.02126628159905</v>
      </c>
      <c r="W49" s="63">
        <f t="shared" si="45"/>
        <v>102.64873945531943</v>
      </c>
      <c r="X49" s="63" t="str">
        <f t="shared" si="46"/>
        <v>2728.605679224-19912.5513105434i</v>
      </c>
      <c r="Y49" s="90" t="str">
        <f t="shared" si="47"/>
        <v>2.7581969673497E-09-1.93987295082283E-08i</v>
      </c>
      <c r="Z49" s="90" t="str">
        <f t="shared" si="48"/>
        <v>2.728605679224E-10-1.99125513105434E-09i</v>
      </c>
      <c r="AA49" s="90" t="str">
        <f t="shared" si="49"/>
        <v>1.37909848367485E-09-9.69936475411415E-09i</v>
      </c>
      <c r="AB49" s="90" t="str">
        <f t="shared" si="50"/>
        <v>2.67063033828897E-14</v>
      </c>
      <c r="AC49" s="90">
        <f t="shared" si="25"/>
        <v>-135.73386221732153</v>
      </c>
      <c r="AD49" s="90" t="str">
        <f t="shared" si="51"/>
        <v>3.29616648408813E-16</v>
      </c>
      <c r="AE49" s="63">
        <f t="shared" si="26"/>
        <v>-154.81990860902468</v>
      </c>
      <c r="AF49" s="63" t="str">
        <f t="shared" si="27"/>
        <v>2.62815771773566E-19</v>
      </c>
      <c r="AG49" s="63">
        <f t="shared" si="28"/>
        <v>-185.80348575989348</v>
      </c>
      <c r="AH49" s="116">
        <f>AH48-(($AH$48-$AH$68)/20)</f>
        <v>-175</v>
      </c>
      <c r="AI49" s="63" t="str">
        <f t="shared" si="52"/>
        <v>2.04542518699627E-14</v>
      </c>
      <c r="AJ49" s="134">
        <f t="shared" si="31"/>
        <v>-136.89216400530739</v>
      </c>
      <c r="AK49" s="63">
        <f t="shared" si="53"/>
        <v>-109.56085769687118</v>
      </c>
      <c r="AL49" s="49">
        <f t="shared" si="54"/>
        <v>1.5147457738102072E-8</v>
      </c>
    </row>
    <row r="50" spans="1:40" x14ac:dyDescent="0.25">
      <c r="A50" s="49"/>
      <c r="B50" s="49"/>
      <c r="C50" s="49"/>
      <c r="D50" s="49"/>
      <c r="E50" s="68">
        <v>12.589254117941703</v>
      </c>
      <c r="F50" s="61" t="str">
        <f t="shared" si="16"/>
        <v>79100.6165022014i</v>
      </c>
      <c r="G50" s="83" t="str">
        <f t="shared" si="34"/>
        <v>2449.27743239205-17020.4044085267i</v>
      </c>
      <c r="H50" s="62" t="str">
        <f t="shared" si="35"/>
        <v>-147.932197602233-21.287801653514i</v>
      </c>
      <c r="I50" s="62" t="str">
        <f t="shared" si="36"/>
        <v>80.5332749835224-0.0772618409120739i</v>
      </c>
      <c r="J50" s="89" t="str">
        <f t="shared" si="37"/>
        <v>202402.196046209-194.180185449907i</v>
      </c>
      <c r="K50" s="89" t="str">
        <f t="shared" si="38"/>
        <v>1.68770969683988+11.6488728478146i</v>
      </c>
      <c r="L50" s="89" t="str">
        <f t="shared" si="39"/>
        <v>-0.00666593729403312+0.000965773011401433i</v>
      </c>
      <c r="M50" s="63">
        <f t="shared" si="17"/>
        <v>-150.02059991327963</v>
      </c>
      <c r="N50" s="63">
        <f t="shared" si="18"/>
        <v>-152.51029995663981</v>
      </c>
      <c r="O50" s="63" t="str">
        <f t="shared" si="40"/>
        <v>1.00934134379292E-11-1.57772181044202E-30i</v>
      </c>
      <c r="P50" s="63">
        <f t="shared" si="20"/>
        <v>-109.95961937176378</v>
      </c>
      <c r="Q50" s="63" t="str">
        <f t="shared" si="41"/>
        <v>4.14662804101538E-14</v>
      </c>
      <c r="R50" s="63">
        <f t="shared" si="42"/>
        <v>-133.82304919779335</v>
      </c>
      <c r="S50" s="63" t="str">
        <f t="shared" si="43"/>
        <v>1.21212080791533E-13</v>
      </c>
      <c r="T50" s="63">
        <f t="shared" si="21"/>
        <v>-129.16454093374065</v>
      </c>
      <c r="U50" s="63" t="str">
        <f t="shared" si="44"/>
        <v>3.13764279990235E-15</v>
      </c>
      <c r="V50" s="63">
        <f t="shared" si="23"/>
        <v>-145.03396499519408</v>
      </c>
      <c r="W50" s="63">
        <f t="shared" si="45"/>
        <v>102.64873945531943</v>
      </c>
      <c r="X50" s="63" t="str">
        <f t="shared" si="46"/>
        <v>2728.57437808636-17751.2711135103i</v>
      </c>
      <c r="Y50" s="90" t="str">
        <f t="shared" si="47"/>
        <v>2.75816647390399E-09-1.72932188039552E-08i</v>
      </c>
      <c r="Z50" s="90" t="str">
        <f t="shared" si="48"/>
        <v>2.72857437808636E-10-1.77512711135103E-09i</v>
      </c>
      <c r="AA50" s="90" t="str">
        <f t="shared" si="49"/>
        <v>1.379083236952E-09-8.6466094019776E-09i</v>
      </c>
      <c r="AB50" s="90" t="str">
        <f t="shared" si="50"/>
        <v>2.67774956302368E-14</v>
      </c>
      <c r="AC50" s="90">
        <f t="shared" si="25"/>
        <v>-135.72230042888901</v>
      </c>
      <c r="AD50" s="90" t="str">
        <f t="shared" si="51"/>
        <v>4.13755947697917E-16</v>
      </c>
      <c r="AE50" s="63">
        <f t="shared" si="26"/>
        <v>-153.83255750234181</v>
      </c>
      <c r="AF50" s="63" t="str">
        <f t="shared" si="27"/>
        <v>4.17656176301541E-19-4.70197740328915E-38i</v>
      </c>
      <c r="AG50" s="63">
        <f t="shared" si="28"/>
        <v>-183.79181091861753</v>
      </c>
      <c r="AH50" s="116">
        <f t="shared" ref="AH50:AH67" si="55">AH49-(($AH$48-$AH$68)/20)</f>
        <v>-175</v>
      </c>
      <c r="AI50" s="63" t="str">
        <f t="shared" si="52"/>
        <v>2.05093133681953E-14-3.08148791101958E-33i</v>
      </c>
      <c r="AJ50" s="134">
        <f t="shared" si="31"/>
        <v>-136.88048879143849</v>
      </c>
      <c r="AK50" s="63">
        <f t="shared" si="53"/>
        <v>-109.86870655587191</v>
      </c>
      <c r="AL50" s="49">
        <f t="shared" si="54"/>
        <v>1.5832695654283826E-8</v>
      </c>
      <c r="AM50" s="69" t="s">
        <v>95</v>
      </c>
    </row>
    <row r="51" spans="1:40" x14ac:dyDescent="0.25">
      <c r="A51" s="49"/>
      <c r="B51" s="49"/>
      <c r="C51" s="49"/>
      <c r="D51" s="49"/>
      <c r="E51" s="68">
        <v>14.125375446227576</v>
      </c>
      <c r="F51" s="61" t="str">
        <f t="shared" si="16"/>
        <v>88752.3514621324i</v>
      </c>
      <c r="G51" s="83" t="str">
        <f t="shared" si="34"/>
        <v>2449.01060316065-15183.2490871804i</v>
      </c>
      <c r="H51" s="62" t="str">
        <f t="shared" si="35"/>
        <v>-117.613602067662-18.9707062622597i</v>
      </c>
      <c r="I51" s="62" t="str">
        <f t="shared" si="36"/>
        <v>80.6683388646886-0.108725397902539i</v>
      </c>
      <c r="J51" s="89" t="str">
        <f t="shared" si="37"/>
        <v>202741.648603678-273.256729047515i</v>
      </c>
      <c r="K51" s="89" t="str">
        <f t="shared" si="38"/>
        <v>2.11672139526684+13.0115612493992i</v>
      </c>
      <c r="L51" s="89" t="str">
        <f t="shared" si="39"/>
        <v>-0.00835423580860682+0.00135906747378213i</v>
      </c>
      <c r="M51" s="63">
        <f t="shared" si="17"/>
        <v>-150.52059991327963</v>
      </c>
      <c r="N51" s="63">
        <f t="shared" si="18"/>
        <v>-152.51029995663981</v>
      </c>
      <c r="O51" s="63" t="str">
        <f t="shared" si="40"/>
        <v>9.42298252054545E-12+1.57772181044202E-30i</v>
      </c>
      <c r="P51" s="63">
        <f t="shared" si="20"/>
        <v>-110.25811614489145</v>
      </c>
      <c r="Q51" s="63" t="str">
        <f t="shared" si="41"/>
        <v>4.16055220983599E-14</v>
      </c>
      <c r="R51" s="63">
        <f t="shared" si="42"/>
        <v>-133.80849023755772</v>
      </c>
      <c r="S51" s="63" t="str">
        <f t="shared" si="43"/>
        <v>1.21619104874558E-13</v>
      </c>
      <c r="T51" s="63">
        <f t="shared" si="21"/>
        <v>-129.14998197350502</v>
      </c>
      <c r="U51" s="63" t="str">
        <f t="shared" si="44"/>
        <v>3.93559588630156E-15</v>
      </c>
      <c r="V51" s="63">
        <f t="shared" si="23"/>
        <v>-144.0498950204952</v>
      </c>
      <c r="W51" s="63">
        <f t="shared" si="45"/>
        <v>102.64873945531943</v>
      </c>
      <c r="X51" s="63" t="str">
        <f t="shared" si="46"/>
        <v>2728.53497330988-15825.5393772608i</v>
      </c>
      <c r="Y51" s="90" t="str">
        <f t="shared" si="47"/>
        <v>2.75812808592506E-09-1.54171784877585E-08i</v>
      </c>
      <c r="Z51" s="90" t="str">
        <f t="shared" si="48"/>
        <v>2.72853497330988E-10-1.58255393772608E-09i</v>
      </c>
      <c r="AA51" s="90" t="str">
        <f t="shared" si="49"/>
        <v>1.37906404296253E-09-7.70858924387925E-09i</v>
      </c>
      <c r="AB51" s="90" t="str">
        <f t="shared" si="50"/>
        <v>2.68665577221313E-14</v>
      </c>
      <c r="AC51" s="90">
        <f t="shared" si="25"/>
        <v>-135.70787973985531</v>
      </c>
      <c r="AD51" s="90" t="str">
        <f t="shared" si="51"/>
        <v>5.18988242485581E-16</v>
      </c>
      <c r="AE51" s="63">
        <f t="shared" si="26"/>
        <v>-152.84842480844168</v>
      </c>
      <c r="AF51" s="63" t="str">
        <f t="shared" si="27"/>
        <v>6.64163121615944E-19</v>
      </c>
      <c r="AG51" s="63">
        <f t="shared" si="28"/>
        <v>-181.77725242744475</v>
      </c>
      <c r="AH51" s="116">
        <f t="shared" si="55"/>
        <v>-175</v>
      </c>
      <c r="AI51" s="63" t="str">
        <f t="shared" si="52"/>
        <v>2.05781826130153E-14-3.08148791101958E-33i</v>
      </c>
      <c r="AJ51" s="134">
        <f t="shared" si="31"/>
        <v>-136.86592983120283</v>
      </c>
      <c r="AK51" s="63">
        <f t="shared" si="53"/>
        <v>-110.1600825043799</v>
      </c>
      <c r="AL51" s="49">
        <f t="shared" si="54"/>
        <v>1.6611821993858627E-8</v>
      </c>
      <c r="AM51" s="8">
        <f>SQRT(2*SUM(AL8:AL107))</f>
        <v>3.5578447991013677E-3</v>
      </c>
      <c r="AN51" t="s">
        <v>96</v>
      </c>
    </row>
    <row r="52" spans="1:40" x14ac:dyDescent="0.25">
      <c r="A52" s="49"/>
      <c r="B52" s="49"/>
      <c r="C52" s="49"/>
      <c r="D52" s="49"/>
      <c r="E52" s="68">
        <v>15.848931924611176</v>
      </c>
      <c r="F52" s="61" t="str">
        <f t="shared" si="16"/>
        <v>99581.7762032064i</v>
      </c>
      <c r="G52" s="83" t="str">
        <f t="shared" si="34"/>
        <v>2448.67472831853-13547.5638762714i</v>
      </c>
      <c r="H52" s="62" t="str">
        <f t="shared" si="35"/>
        <v>-93.5306691651146-16.905340915829i</v>
      </c>
      <c r="I52" s="62" t="str">
        <f t="shared" si="36"/>
        <v>80.8366514170685-0.152856102315821i</v>
      </c>
      <c r="J52" s="89" t="str">
        <f t="shared" si="37"/>
        <v>203164.66418613-384.169286473604i</v>
      </c>
      <c r="K52" s="89" t="str">
        <f t="shared" si="38"/>
        <v>2.65225621113146+14.5170123001504i</v>
      </c>
      <c r="L52" s="89" t="str">
        <f t="shared" si="39"/>
        <v>-0.0104581427133558+0.00191070127894772i</v>
      </c>
      <c r="M52" s="63">
        <f t="shared" si="17"/>
        <v>-151.02059991327963</v>
      </c>
      <c r="N52" s="63">
        <f t="shared" si="18"/>
        <v>-152.51029995663981</v>
      </c>
      <c r="O52" s="63" t="str">
        <f t="shared" si="40"/>
        <v>8.83200900503598E-12</v>
      </c>
      <c r="P52" s="63">
        <f t="shared" si="20"/>
        <v>-110.5394049681195</v>
      </c>
      <c r="Q52" s="63" t="str">
        <f t="shared" si="41"/>
        <v>4.17793945594147E-14</v>
      </c>
      <c r="R52" s="63">
        <f t="shared" si="42"/>
        <v>-133.7903785783131</v>
      </c>
      <c r="S52" s="63" t="str">
        <f t="shared" si="43"/>
        <v>1.22127359837104E-13</v>
      </c>
      <c r="T52" s="63">
        <f t="shared" si="21"/>
        <v>-129.1318703142604</v>
      </c>
      <c r="U52" s="63" t="str">
        <f t="shared" si="44"/>
        <v>4.93189638782584E-15-9.86076131526265E-32i</v>
      </c>
      <c r="V52" s="63">
        <f t="shared" si="23"/>
        <v>-143.06986055893859</v>
      </c>
      <c r="W52" s="63">
        <f t="shared" si="45"/>
        <v>102.64873945531943</v>
      </c>
      <c r="X52" s="63" t="str">
        <f t="shared" si="46"/>
        <v>2728.48536725372-14109.8027613989i</v>
      </c>
      <c r="Y52" s="90" t="str">
        <f t="shared" si="47"/>
        <v>2.7580797598994E-09-1.37457145954925E-08i</v>
      </c>
      <c r="Z52" s="90" t="str">
        <f t="shared" si="48"/>
        <v>2.72848536725372E-10-1.41098027613989E-09i</v>
      </c>
      <c r="AA52" s="90" t="str">
        <f t="shared" si="49"/>
        <v>1.3790398799497E-09-6.87285729774625E-09i</v>
      </c>
      <c r="AB52" s="90" t="str">
        <f t="shared" si="50"/>
        <v>2.69777972380293E-14</v>
      </c>
      <c r="AC52" s="90">
        <f t="shared" si="25"/>
        <v>-135.68993513760606</v>
      </c>
      <c r="AD52" s="90" t="str">
        <f t="shared" si="51"/>
        <v>6.50382520945319E-16</v>
      </c>
      <c r="AE52" s="63">
        <f t="shared" si="26"/>
        <v>-151.86831138937669</v>
      </c>
      <c r="AF52" s="63" t="str">
        <f t="shared" si="27"/>
        <v>1.05702647269202E-18</v>
      </c>
      <c r="AG52" s="63">
        <f t="shared" si="28"/>
        <v>-179.7591413587129</v>
      </c>
      <c r="AH52" s="116">
        <f t="shared" si="55"/>
        <v>-175</v>
      </c>
      <c r="AI52" s="63" t="str">
        <f t="shared" si="52"/>
        <v>2.06641803141496E-14</v>
      </c>
      <c r="AJ52" s="134">
        <f t="shared" si="31"/>
        <v>-136.84781817195824</v>
      </c>
      <c r="AK52" s="63">
        <f t="shared" si="53"/>
        <v>-110.43392641236144</v>
      </c>
      <c r="AL52" s="49">
        <f t="shared" si="54"/>
        <v>1.7499791644199838E-8</v>
      </c>
      <c r="AM52" s="70">
        <f>AM51*(360/(2*3.14159))</f>
        <v>0.20384966333552315</v>
      </c>
      <c r="AN52" t="s">
        <v>97</v>
      </c>
    </row>
    <row r="53" spans="1:40" x14ac:dyDescent="0.25">
      <c r="A53" s="49"/>
      <c r="B53" s="49"/>
      <c r="C53" s="49"/>
      <c r="D53" s="49"/>
      <c r="E53" s="68">
        <v>17.782794100389278</v>
      </c>
      <c r="F53" s="61" t="str">
        <f t="shared" si="16"/>
        <v>111732.590612166i</v>
      </c>
      <c r="G53" s="83" t="str">
        <f t="shared" si="34"/>
        <v>2448.25195549053-12091.6432456113i</v>
      </c>
      <c r="H53" s="62" t="str">
        <f t="shared" si="35"/>
        <v>-74.4008949028396-15.0642995940386i</v>
      </c>
      <c r="I53" s="62" t="str">
        <f t="shared" si="36"/>
        <v>81.0458529502141-0.21464373416955i</v>
      </c>
      <c r="J53" s="89" t="str">
        <f t="shared" si="37"/>
        <v>203690.444985849-539.458542724855i</v>
      </c>
      <c r="K53" s="89" t="str">
        <f t="shared" si="38"/>
        <v>3.3193336527098+16.1734741843841i</v>
      </c>
      <c r="L53" s="89" t="str">
        <f t="shared" si="39"/>
        <v>-0.0130731618776757+0.00268304667711962i</v>
      </c>
      <c r="M53" s="63">
        <f t="shared" si="17"/>
        <v>-151.52059991327963</v>
      </c>
      <c r="N53" s="63">
        <f t="shared" si="18"/>
        <v>-152.51029995663981</v>
      </c>
      <c r="O53" s="63" t="str">
        <f t="shared" si="40"/>
        <v>8.31309625097379E-12</v>
      </c>
      <c r="P53" s="63">
        <f t="shared" si="20"/>
        <v>-110.80237191105853</v>
      </c>
      <c r="Q53" s="63" t="str">
        <f t="shared" si="41"/>
        <v>4.19960650817848E-14</v>
      </c>
      <c r="R53" s="63">
        <f t="shared" si="42"/>
        <v>-133.76791399919372</v>
      </c>
      <c r="S53" s="63" t="str">
        <f t="shared" si="43"/>
        <v>1.22760719873328E-13</v>
      </c>
      <c r="T53" s="63">
        <f t="shared" si="21"/>
        <v>-129.10940573514102</v>
      </c>
      <c r="U53" s="63" t="str">
        <f t="shared" si="44"/>
        <v>6.1732579882937E-15</v>
      </c>
      <c r="V53" s="63">
        <f t="shared" si="23"/>
        <v>-142.09485572935512</v>
      </c>
      <c r="W53" s="63">
        <f t="shared" si="45"/>
        <v>102.64873945531943</v>
      </c>
      <c r="X53" s="63" t="str">
        <f t="shared" si="46"/>
        <v>2728.42291949371-12581.2944124614i</v>
      </c>
      <c r="Y53" s="90" t="str">
        <f t="shared" si="47"/>
        <v>2.75801892353615E-09-1.22566477476694E-08i</v>
      </c>
      <c r="Z53" s="90" t="str">
        <f t="shared" si="48"/>
        <v>2.72842291949371E-10-1.25812944124614E-09i</v>
      </c>
      <c r="AA53" s="90" t="str">
        <f t="shared" si="49"/>
        <v>1.37900946176808E-09-6.1283238738347E-09i</v>
      </c>
      <c r="AB53" s="90" t="str">
        <f t="shared" si="50"/>
        <v>2.71164601795181E-14-7.88860905221012E-31i</v>
      </c>
      <c r="AC53" s="90">
        <f t="shared" si="25"/>
        <v>-135.66767004511468</v>
      </c>
      <c r="AD53" s="90" t="str">
        <f t="shared" si="51"/>
        <v>8.14102866609297E-16+2.46519032881566E-32i</v>
      </c>
      <c r="AE53" s="63">
        <f t="shared" si="26"/>
        <v>-150.89320716022056</v>
      </c>
      <c r="AF53" s="63" t="str">
        <f t="shared" si="27"/>
        <v>1.68396184738622E-18</v>
      </c>
      <c r="AG53" s="63">
        <f t="shared" si="28"/>
        <v>-177.73667752300344</v>
      </c>
      <c r="AH53" s="116">
        <f t="shared" si="55"/>
        <v>-175</v>
      </c>
      <c r="AI53" s="63" t="str">
        <f t="shared" si="52"/>
        <v>2.07713460304133E-14+6.16297582203915E-33i</v>
      </c>
      <c r="AJ53" s="134">
        <f t="shared" si="31"/>
        <v>-136.82535359283884</v>
      </c>
      <c r="AK53" s="63">
        <f t="shared" si="53"/>
        <v>-110.68912002224084</v>
      </c>
      <c r="AL53" s="49">
        <f t="shared" si="54"/>
        <v>1.8514565178542919E-8</v>
      </c>
      <c r="AM53" s="71">
        <f>AM52/(360*C11*1000000)*1000000000000</f>
        <v>0.14156226620522441</v>
      </c>
      <c r="AN53" t="s">
        <v>98</v>
      </c>
    </row>
    <row r="54" spans="1:40" x14ac:dyDescent="0.25">
      <c r="A54" s="49"/>
      <c r="B54" s="49"/>
      <c r="C54" s="49"/>
      <c r="D54" s="49"/>
      <c r="E54" s="68">
        <v>19.952623149688854</v>
      </c>
      <c r="F54" s="61" t="str">
        <f t="shared" si="16"/>
        <v>125366.028613816i</v>
      </c>
      <c r="G54" s="83" t="str">
        <f t="shared" si="34"/>
        <v>2447.71982464545-10796.1666275094i</v>
      </c>
      <c r="H54" s="62" t="str">
        <f t="shared" si="35"/>
        <v>-59.2055490509071-13.42315297095i</v>
      </c>
      <c r="I54" s="62" t="str">
        <f t="shared" si="36"/>
        <v>81.305032656448-0.30096190595619i</v>
      </c>
      <c r="J54" s="89" t="str">
        <f t="shared" si="37"/>
        <v>204341.8346347-756.39977020974i</v>
      </c>
      <c r="K54" s="89" t="str">
        <f t="shared" si="38"/>
        <v>4.14805228951771+17.9868069391571i</v>
      </c>
      <c r="L54" s="89" t="str">
        <f t="shared" si="39"/>
        <v>-0.0163129082056004+0.0037620238244523i</v>
      </c>
      <c r="M54" s="63">
        <f t="shared" si="17"/>
        <v>-152.02059991327963</v>
      </c>
      <c r="N54" s="63">
        <f t="shared" si="18"/>
        <v>-152.51029995663981</v>
      </c>
      <c r="O54" s="63" t="str">
        <f t="shared" si="40"/>
        <v>7.85987541601463E-12</v>
      </c>
      <c r="P54" s="63">
        <f t="shared" si="20"/>
        <v>-111.04584337747639</v>
      </c>
      <c r="Q54" s="63" t="str">
        <f t="shared" si="41"/>
        <v>4.22653789556885E-14+2.46519032881566E-32i</v>
      </c>
      <c r="R54" s="63">
        <f t="shared" si="42"/>
        <v>-133.74015232742357</v>
      </c>
      <c r="S54" s="63" t="str">
        <f t="shared" si="43"/>
        <v>1.23547964225101E-13</v>
      </c>
      <c r="T54" s="63">
        <f t="shared" si="21"/>
        <v>-129.08164406337087</v>
      </c>
      <c r="U54" s="63" t="str">
        <f t="shared" si="44"/>
        <v>7.71595403532003E-15+1.97215226305253E-31i</v>
      </c>
      <c r="V54" s="63">
        <f t="shared" si="23"/>
        <v>-141.12610368154429</v>
      </c>
      <c r="W54" s="63">
        <f t="shared" si="45"/>
        <v>102.64873945531943</v>
      </c>
      <c r="X54" s="63" t="str">
        <f t="shared" si="46"/>
        <v>2728.34430648619-11219.7318530585i</v>
      </c>
      <c r="Y54" s="90" t="str">
        <f t="shared" si="47"/>
        <v>2.75794233905208E-09-1.09302188342431E-08i</v>
      </c>
      <c r="Z54" s="90" t="str">
        <f t="shared" si="48"/>
        <v>2.72834430648619E-10-1.12197318530585E-09i</v>
      </c>
      <c r="AA54" s="90" t="str">
        <f t="shared" si="49"/>
        <v>1.37897116952604E-09-5.46510941712155E-09i</v>
      </c>
      <c r="AB54" s="90" t="str">
        <f t="shared" si="50"/>
        <v>2.72888797866335E-14</v>
      </c>
      <c r="AC54" s="90">
        <f t="shared" si="25"/>
        <v>-135.64014291829884</v>
      </c>
      <c r="AD54" s="90" t="str">
        <f t="shared" si="51"/>
        <v>1.01757634375245E-15</v>
      </c>
      <c r="AE54" s="63">
        <f t="shared" si="26"/>
        <v>-149.92432997899664</v>
      </c>
      <c r="AF54" s="63" t="str">
        <f t="shared" si="27"/>
        <v>2.68601430506728E-18+1.50463276905253E-36i</v>
      </c>
      <c r="AG54" s="63">
        <f t="shared" si="28"/>
        <v>-175.70891678713008</v>
      </c>
      <c r="AH54" s="116">
        <f t="shared" si="55"/>
        <v>-175</v>
      </c>
      <c r="AI54" s="63" t="str">
        <f t="shared" si="52"/>
        <v>2.09045492639723E-14</v>
      </c>
      <c r="AJ54" s="134">
        <f t="shared" si="31"/>
        <v>-136.79759192106869</v>
      </c>
      <c r="AK54" s="63">
        <f t="shared" si="53"/>
        <v>-110.92447924563004</v>
      </c>
      <c r="AL54" s="49">
        <f t="shared" si="54"/>
        <v>1.9677847683968507E-8</v>
      </c>
      <c r="AM54" s="6">
        <f>10*LOG(0.5*AM51^2)</f>
        <v>-51.986559970742796</v>
      </c>
      <c r="AN54" t="s">
        <v>99</v>
      </c>
    </row>
    <row r="55" spans="1:40" x14ac:dyDescent="0.25">
      <c r="A55" s="49"/>
      <c r="B55" s="49"/>
      <c r="C55" s="49"/>
      <c r="D55" s="49"/>
      <c r="E55" s="68">
        <v>22.387211385683457</v>
      </c>
      <c r="F55" s="61" t="str">
        <f t="shared" si="16"/>
        <v>140662.99764725i</v>
      </c>
      <c r="G55" s="83" t="str">
        <f t="shared" si="34"/>
        <v>2447.05008368719-9643.94187821281i</v>
      </c>
      <c r="H55" s="62" t="str">
        <f t="shared" si="35"/>
        <v>-47.1354240430616-11.9601242734345i</v>
      </c>
      <c r="I55" s="62" t="str">
        <f t="shared" si="36"/>
        <v>81.6248286595925-0.421219769728862i</v>
      </c>
      <c r="J55" s="89" t="str">
        <f t="shared" si="37"/>
        <v>205145.569654-1058.64074730127i</v>
      </c>
      <c r="K55" s="89" t="str">
        <f t="shared" si="38"/>
        <v>5.17417889525631+19.9590683131556i</v>
      </c>
      <c r="L55" s="89" t="str">
        <f t="shared" si="39"/>
        <v>-0.0203103582449051+0.00526524712161114i</v>
      </c>
      <c r="M55" s="63">
        <f t="shared" si="17"/>
        <v>-152.52059991327963</v>
      </c>
      <c r="N55" s="63">
        <f t="shared" si="18"/>
        <v>-152.51029995663981</v>
      </c>
      <c r="O55" s="63" t="str">
        <f t="shared" si="40"/>
        <v>7.46691896171324E-12</v>
      </c>
      <c r="P55" s="63">
        <f t="shared" si="20"/>
        <v>-111.26858562033435</v>
      </c>
      <c r="Q55" s="63" t="str">
        <f t="shared" si="41"/>
        <v>4.25990672429069E-14</v>
      </c>
      <c r="R55" s="63">
        <f t="shared" si="42"/>
        <v>-133.70599910185859</v>
      </c>
      <c r="S55" s="63" t="str">
        <f t="shared" si="43"/>
        <v>1.24523384523942E-13+9.86076131526265E-32i</v>
      </c>
      <c r="T55" s="63">
        <f t="shared" si="21"/>
        <v>-129.0474908378059</v>
      </c>
      <c r="U55" s="63" t="str">
        <f t="shared" si="44"/>
        <v>9.6269772164917E-15+3.94430452610506E-31i</v>
      </c>
      <c r="V55" s="63">
        <f t="shared" si="23"/>
        <v>-140.16510055998654</v>
      </c>
      <c r="W55" s="63">
        <f t="shared" si="45"/>
        <v>102.64873945531943</v>
      </c>
      <c r="X55" s="63" t="str">
        <f t="shared" si="46"/>
        <v>2728.24534501445-10007.0478336515i</v>
      </c>
      <c r="Y55" s="90" t="str">
        <f t="shared" si="47"/>
        <v>2.75784593117385E-09-9.74882681146546E-09i</v>
      </c>
      <c r="Z55" s="90" t="str">
        <f t="shared" si="48"/>
        <v>2.72824534501445E-10-1.00070478336515E-09i</v>
      </c>
      <c r="AA55" s="90" t="str">
        <f t="shared" si="49"/>
        <v>1.37892296558693E-09-4.87441340573273E-09i</v>
      </c>
      <c r="AB55" s="90" t="str">
        <f t="shared" si="50"/>
        <v>2.75026173382224E-14</v>
      </c>
      <c r="AC55" s="90">
        <f t="shared" si="25"/>
        <v>-135.60625973753096</v>
      </c>
      <c r="AD55" s="90" t="str">
        <f t="shared" si="51"/>
        <v>1.26964722299767E-15-4.93038065763132E-32i</v>
      </c>
      <c r="AE55" s="63">
        <f t="shared" si="26"/>
        <v>-148.96316932893168</v>
      </c>
      <c r="AF55" s="63" t="str">
        <f t="shared" si="27"/>
        <v>4.29065431369338E-18-3.00926553810506E-36i</v>
      </c>
      <c r="AG55" s="63">
        <f t="shared" si="28"/>
        <v>-173.67476473978871</v>
      </c>
      <c r="AH55" s="116">
        <f t="shared" si="55"/>
        <v>-175</v>
      </c>
      <c r="AI55" s="63" t="str">
        <f t="shared" si="52"/>
        <v>2.10695922237501E-14</v>
      </c>
      <c r="AJ55" s="134">
        <f t="shared" si="31"/>
        <v>-136.76343869550368</v>
      </c>
      <c r="AK55" s="63">
        <f t="shared" si="53"/>
        <v>-111.1387522120836</v>
      </c>
      <c r="AL55" s="49">
        <f t="shared" si="54"/>
        <v>2.1016011525575872E-8</v>
      </c>
    </row>
    <row r="56" spans="1:40" x14ac:dyDescent="0.25">
      <c r="A56" s="49"/>
      <c r="B56" s="49"/>
      <c r="C56" s="49"/>
      <c r="D56" s="49"/>
      <c r="E56" s="68">
        <v>25.118864315095877</v>
      </c>
      <c r="F56" s="61" t="str">
        <f t="shared" si="16"/>
        <v>157826.479197648i</v>
      </c>
      <c r="G56" s="83" t="str">
        <f t="shared" si="34"/>
        <v>2446.20720240679-8619.6769139273i</v>
      </c>
      <c r="H56" s="62" t="str">
        <f t="shared" si="35"/>
        <v>-37.5477417252892-10.6558003460786i</v>
      </c>
      <c r="I56" s="62" t="str">
        <f t="shared" si="36"/>
        <v>82.0174240067225-0.588196873848069i</v>
      </c>
      <c r="J56" s="89" t="str">
        <f t="shared" si="37"/>
        <v>206132.269380703-1478.29998219637i</v>
      </c>
      <c r="K56" s="89" t="str">
        <f t="shared" si="38"/>
        <v>6.43954831234122+22.0866514858811i</v>
      </c>
      <c r="L56" s="89" t="str">
        <f t="shared" si="39"/>
        <v>-0.0252178000840299+0.00735246092310017i</v>
      </c>
      <c r="M56" s="63">
        <f t="shared" si="17"/>
        <v>-153.02059991327963</v>
      </c>
      <c r="N56" s="63">
        <f t="shared" si="18"/>
        <v>-152.51029995663981</v>
      </c>
      <c r="O56" s="63" t="str">
        <f t="shared" si="40"/>
        <v>7.1296574787727E-12</v>
      </c>
      <c r="P56" s="63">
        <f t="shared" si="20"/>
        <v>-111.4693133391421</v>
      </c>
      <c r="Q56" s="63" t="str">
        <f t="shared" si="41"/>
        <v>4.30109014832038E-14</v>
      </c>
      <c r="R56" s="63">
        <f t="shared" si="42"/>
        <v>-133.66421454793547</v>
      </c>
      <c r="S56" s="63" t="str">
        <f t="shared" si="43"/>
        <v>1.2572723702081E-13</v>
      </c>
      <c r="T56" s="63">
        <f t="shared" si="21"/>
        <v>-129.00570628388277</v>
      </c>
      <c r="U56" s="63" t="str">
        <f t="shared" si="44"/>
        <v>1.19848801762785E-14</v>
      </c>
      <c r="V56" s="63">
        <f t="shared" si="23"/>
        <v>-139.21366303644612</v>
      </c>
      <c r="W56" s="63">
        <f t="shared" si="45"/>
        <v>102.64873945531943</v>
      </c>
      <c r="X56" s="63" t="str">
        <f t="shared" si="46"/>
        <v>2728.1207701103-8927.15057408777i</v>
      </c>
      <c r="Y56" s="90" t="str">
        <f t="shared" si="47"/>
        <v>2.75772457079006E-09-8.69679513012778E-09i</v>
      </c>
      <c r="Z56" s="90" t="str">
        <f t="shared" si="48"/>
        <v>2.7281207701103E-10-8.92715057408777E-10i</v>
      </c>
      <c r="AA56" s="90" t="str">
        <f t="shared" si="49"/>
        <v>1.37886228539503E-09-4.34839756506389E-09i</v>
      </c>
      <c r="AB56" s="90" t="str">
        <f t="shared" si="50"/>
        <v>2.77665730943112E-14</v>
      </c>
      <c r="AC56" s="90">
        <f t="shared" si="25"/>
        <v>-135.56477716867238</v>
      </c>
      <c r="AD56" s="90" t="str">
        <f t="shared" si="51"/>
        <v>1.58068979803733E-15+4.93038065763132E-32i</v>
      </c>
      <c r="AE56" s="63">
        <f t="shared" si="26"/>
        <v>-148.0115334968749</v>
      </c>
      <c r="AF56" s="63" t="str">
        <f t="shared" si="27"/>
        <v>6.86596891840428E-18-6.01853107621011E-36i</v>
      </c>
      <c r="AG56" s="63">
        <f t="shared" si="28"/>
        <v>-171.63298166916104</v>
      </c>
      <c r="AH56" s="116">
        <f t="shared" si="55"/>
        <v>-175</v>
      </c>
      <c r="AI56" s="63" t="str">
        <f t="shared" si="52"/>
        <v>2.12732863435613E-14</v>
      </c>
      <c r="AJ56" s="134">
        <f t="shared" si="31"/>
        <v>-136.72165414158061</v>
      </c>
      <c r="AK56" s="63">
        <f t="shared" si="53"/>
        <v>-111.33062715426658</v>
      </c>
      <c r="AL56" s="49">
        <f t="shared" si="54"/>
        <v>2.2561231598975531E-8</v>
      </c>
    </row>
    <row r="57" spans="1:40" x14ac:dyDescent="0.25">
      <c r="A57" s="49"/>
      <c r="B57" s="49"/>
      <c r="C57" s="49"/>
      <c r="D57" s="49"/>
      <c r="E57" s="68">
        <v>28.183829312644626</v>
      </c>
      <c r="F57" s="61" t="str">
        <f t="shared" si="16"/>
        <v>177084.222237266i</v>
      </c>
      <c r="G57" s="83" t="str">
        <f t="shared" si="34"/>
        <v>2445.1465096257-7709.77646323149i</v>
      </c>
      <c r="H57" s="62" t="str">
        <f t="shared" si="35"/>
        <v>-29.9319230787812-9.49287409194106i</v>
      </c>
      <c r="I57" s="62" t="str">
        <f t="shared" si="36"/>
        <v>82.496361800342-0.819083065928575i</v>
      </c>
      <c r="J57" s="89" t="str">
        <f t="shared" si="37"/>
        <v>207335.971343872-2058.58027408084i</v>
      </c>
      <c r="K57" s="89" t="str">
        <f t="shared" si="38"/>
        <v>7.99209506386317+24.3579212561447i</v>
      </c>
      <c r="L57" s="89" t="str">
        <f t="shared" si="39"/>
        <v>-0.0312045225042736+0.0102385383241068i</v>
      </c>
      <c r="M57" s="63">
        <f t="shared" si="17"/>
        <v>-153.52059991327963</v>
      </c>
      <c r="N57" s="63">
        <f t="shared" si="18"/>
        <v>-152.51029995663981</v>
      </c>
      <c r="O57" s="63" t="str">
        <f t="shared" si="40"/>
        <v>6.84429361222662E-12</v>
      </c>
      <c r="P57" s="63">
        <f t="shared" si="20"/>
        <v>-111.64671368003717</v>
      </c>
      <c r="Q57" s="63" t="str">
        <f t="shared" si="41"/>
        <v>4.35167408483621E-14-4.93038065763132E-32i</v>
      </c>
      <c r="R57" s="63">
        <f t="shared" si="42"/>
        <v>-133.61343638231165</v>
      </c>
      <c r="S57" s="63" t="str">
        <f t="shared" si="43"/>
        <v>1.27205880424333E-13</v>
      </c>
      <c r="T57" s="63">
        <f t="shared" si="21"/>
        <v>-128.95492811825898</v>
      </c>
      <c r="U57" s="63" t="str">
        <f t="shared" si="44"/>
        <v>1.48799791041758E-14</v>
      </c>
      <c r="V57" s="63">
        <f t="shared" si="23"/>
        <v>-138.27397678665645</v>
      </c>
      <c r="W57" s="63">
        <f t="shared" si="45"/>
        <v>102.64873945531943</v>
      </c>
      <c r="X57" s="63" t="str">
        <f t="shared" si="46"/>
        <v>2727.96395577317-7965.71021139284i</v>
      </c>
      <c r="Y57" s="90" t="str">
        <f t="shared" si="47"/>
        <v>2.75757180287692E-09-7.76016369383681E-09i</v>
      </c>
      <c r="Z57" s="90" t="str">
        <f t="shared" si="48"/>
        <v>2.72796395577317E-10-7.96571021139284E-10i</v>
      </c>
      <c r="AA57" s="90" t="str">
        <f t="shared" si="49"/>
        <v>1.37878590143846E-09-3.88008184691841E-09i</v>
      </c>
      <c r="AB57" s="90" t="str">
        <f t="shared" si="50"/>
        <v>2.80910343731043E-14</v>
      </c>
      <c r="AC57" s="90">
        <f t="shared" si="25"/>
        <v>-135.51432268834711</v>
      </c>
      <c r="AD57" s="90" t="str">
        <f t="shared" si="51"/>
        <v>1.9626381640419E-15</v>
      </c>
      <c r="AE57" s="63">
        <f t="shared" si="26"/>
        <v>-147.07159760432955</v>
      </c>
      <c r="AF57" s="63" t="str">
        <f t="shared" si="27"/>
        <v>1.10098008391634E-17</v>
      </c>
      <c r="AG57" s="63">
        <f t="shared" si="28"/>
        <v>-169.58220537089522</v>
      </c>
      <c r="AH57" s="116">
        <f t="shared" si="55"/>
        <v>-175</v>
      </c>
      <c r="AI57" s="63" t="str">
        <f t="shared" si="52"/>
        <v>2.15234756046039E-14</v>
      </c>
      <c r="AJ57" s="134">
        <f t="shared" si="31"/>
        <v>-136.67087597595679</v>
      </c>
      <c r="AK57" s="63">
        <f t="shared" si="53"/>
        <v>-111.49875699037823</v>
      </c>
      <c r="AL57" s="49">
        <f t="shared" si="54"/>
        <v>2.4352851478463476E-8</v>
      </c>
    </row>
    <row r="58" spans="1:40" x14ac:dyDescent="0.25">
      <c r="A58" s="49"/>
      <c r="B58" s="49"/>
      <c r="C58" s="49"/>
      <c r="D58" s="49"/>
      <c r="E58" s="68">
        <v>31.622776601683899</v>
      </c>
      <c r="F58" s="61" t="str">
        <f t="shared" si="16"/>
        <v>198691.765315923i</v>
      </c>
      <c r="G58" s="83" t="str">
        <f t="shared" si="34"/>
        <v>2443.81186059845-6902.16119964589i</v>
      </c>
      <c r="H58" s="62" t="str">
        <f t="shared" si="35"/>
        <v>-23.8823980309981-8.45591487644201i</v>
      </c>
      <c r="I58" s="62" t="str">
        <f t="shared" si="36"/>
        <v>83.0760736506665-1.13672600697119i</v>
      </c>
      <c r="J58" s="89" t="str">
        <f t="shared" si="37"/>
        <v>208792.946136015-2856.90405811652i</v>
      </c>
      <c r="K58" s="89" t="str">
        <f t="shared" si="38"/>
        <v>9.88526895833758+26.750347212971i</v>
      </c>
      <c r="L58" s="89" t="str">
        <f t="shared" si="39"/>
        <v>-0.03845092063333+0.0142090750871396i</v>
      </c>
      <c r="M58" s="63">
        <f t="shared" si="17"/>
        <v>-154.02059991327963</v>
      </c>
      <c r="N58" s="63">
        <f t="shared" si="18"/>
        <v>-152.51029995663981</v>
      </c>
      <c r="O58" s="63" t="str">
        <f t="shared" si="40"/>
        <v>6.60770543912231E-12-1.26217744835362E-29i</v>
      </c>
      <c r="P58" s="63">
        <f t="shared" si="20"/>
        <v>-111.79949325405454</v>
      </c>
      <c r="Q58" s="63" t="str">
        <f t="shared" si="41"/>
        <v>4.41343959674048E-14</v>
      </c>
      <c r="R58" s="63">
        <f t="shared" si="42"/>
        <v>-133.55222812881291</v>
      </c>
      <c r="S58" s="63" t="str">
        <f t="shared" si="43"/>
        <v>1.29011377841756E-13-1.97215226305253E-31i</v>
      </c>
      <c r="T58" s="63">
        <f t="shared" si="21"/>
        <v>-128.89371986476024</v>
      </c>
      <c r="U58" s="63" t="str">
        <f t="shared" si="44"/>
        <v>1.84134794951991E-14+7.88860905221012E-31i</v>
      </c>
      <c r="V58" s="63">
        <f t="shared" si="23"/>
        <v>-137.34864137472022</v>
      </c>
      <c r="W58" s="63">
        <f t="shared" si="45"/>
        <v>102.64873945531943</v>
      </c>
      <c r="X58" s="63" t="str">
        <f t="shared" si="46"/>
        <v>2727.76656385098-7109.96861722862i</v>
      </c>
      <c r="Y58" s="90" t="str">
        <f t="shared" si="47"/>
        <v>2.75737950443932E-09-6.92650358392703E-09i</v>
      </c>
      <c r="Z58" s="90" t="str">
        <f t="shared" si="48"/>
        <v>2.72776656385098E-10-7.10996861722862E-10i</v>
      </c>
      <c r="AA58" s="90" t="str">
        <f t="shared" si="49"/>
        <v>1.37868975221966E-09-3.46325179196351E-09i</v>
      </c>
      <c r="AB58" s="90" t="str">
        <f t="shared" si="50"/>
        <v>2.84876147691294E-14</v>
      </c>
      <c r="AC58" s="90">
        <f t="shared" si="25"/>
        <v>-135.45343912149465</v>
      </c>
      <c r="AD58" s="90" t="str">
        <f t="shared" si="51"/>
        <v>2.42887523545038E-15</v>
      </c>
      <c r="AE58" s="63">
        <f t="shared" si="26"/>
        <v>-146.14594793118732</v>
      </c>
      <c r="AF58" s="63" t="str">
        <f t="shared" si="27"/>
        <v>1.76970163926617E-17</v>
      </c>
      <c r="AG58" s="63">
        <f t="shared" si="28"/>
        <v>-167.52099946826098</v>
      </c>
      <c r="AH58" s="116">
        <f t="shared" si="55"/>
        <v>-175</v>
      </c>
      <c r="AI58" s="63" t="str">
        <f t="shared" si="52"/>
        <v>2.18289691831119E-14-4.93038065763132E-32i</v>
      </c>
      <c r="AJ58" s="134">
        <f t="shared" si="31"/>
        <v>-136.60966772245803</v>
      </c>
      <c r="AK58" s="63">
        <f t="shared" si="53"/>
        <v>-111.64180880604063</v>
      </c>
      <c r="AL58" s="49">
        <f t="shared" si="54"/>
        <v>2.6438976483785923E-8</v>
      </c>
    </row>
    <row r="59" spans="1:40" x14ac:dyDescent="0.25">
      <c r="A59" s="49"/>
      <c r="B59" s="49"/>
      <c r="C59" s="49"/>
      <c r="D59" s="49"/>
      <c r="E59" s="68">
        <v>35.481338923357669</v>
      </c>
      <c r="F59" s="61" t="str">
        <f t="shared" si="16"/>
        <v>222935.8274023i</v>
      </c>
      <c r="G59" s="83" t="str">
        <f t="shared" si="34"/>
        <v>2442.13272036577-6186.10679923004i</v>
      </c>
      <c r="H59" s="62" t="str">
        <f t="shared" si="35"/>
        <v>-19.0770073793297-7.53116385470728i</v>
      </c>
      <c r="I59" s="62" t="str">
        <f t="shared" si="36"/>
        <v>83.7709864880954-1.57105191914722i</v>
      </c>
      <c r="J59" s="89" t="str">
        <f t="shared" si="37"/>
        <v>210539.452587976-3948.48413408062i</v>
      </c>
      <c r="K59" s="89" t="str">
        <f t="shared" si="38"/>
        <v>12.1765212608999+29.2272308682105i</v>
      </c>
      <c r="L59" s="89" t="str">
        <f t="shared" si="39"/>
        <v>-0.0471373311011908+0.019638148989339i</v>
      </c>
      <c r="M59" s="63">
        <f t="shared" si="17"/>
        <v>-154.52059991327963</v>
      </c>
      <c r="N59" s="63">
        <f t="shared" si="18"/>
        <v>-152.51029995663981</v>
      </c>
      <c r="O59" s="63" t="str">
        <f t="shared" si="40"/>
        <v>6.41733056460147E-12</v>
      </c>
      <c r="P59" s="63">
        <f t="shared" si="20"/>
        <v>-111.92645589088937</v>
      </c>
      <c r="Q59" s="63" t="str">
        <f t="shared" si="41"/>
        <v>4.48832132281602E-14+9.86076131526265E-32i</v>
      </c>
      <c r="R59" s="63">
        <f t="shared" si="42"/>
        <v>-133.47916059120305</v>
      </c>
      <c r="S59" s="63" t="str">
        <f t="shared" si="43"/>
        <v>1.31200281630835E-13</v>
      </c>
      <c r="T59" s="63">
        <f t="shared" si="21"/>
        <v>-128.82065232715036</v>
      </c>
      <c r="U59" s="63" t="str">
        <f t="shared" si="44"/>
        <v>2.26949666932305E-14</v>
      </c>
      <c r="V59" s="63">
        <f t="shared" si="23"/>
        <v>-136.44070450284286</v>
      </c>
      <c r="W59" s="63">
        <f t="shared" si="45"/>
        <v>102.64873945531943</v>
      </c>
      <c r="X59" s="63" t="str">
        <f t="shared" si="46"/>
        <v>2727.51810275869-6348.57005733768i</v>
      </c>
      <c r="Y59" s="90" t="str">
        <f t="shared" si="47"/>
        <v>2.7571374546162E-09-6.18475208855445E-09i</v>
      </c>
      <c r="Z59" s="90" t="str">
        <f t="shared" si="48"/>
        <v>2.72751810275869E-10-6.34857005733768E-10i</v>
      </c>
      <c r="AA59" s="90" t="str">
        <f t="shared" si="49"/>
        <v>1.3785687273081E-09-3.09237604427722E-09i</v>
      </c>
      <c r="AB59" s="90" t="str">
        <f t="shared" si="50"/>
        <v>2.89690261439618E-14</v>
      </c>
      <c r="AC59" s="90">
        <f t="shared" si="25"/>
        <v>-135.38066104292699</v>
      </c>
      <c r="AD59" s="90" t="str">
        <f t="shared" si="51"/>
        <v>2.99390802226558E-15</v>
      </c>
      <c r="AE59" s="63">
        <f t="shared" si="26"/>
        <v>-145.23761546022394</v>
      </c>
      <c r="AF59" s="63" t="str">
        <f t="shared" si="27"/>
        <v>2.85237427500808E-17</v>
      </c>
      <c r="AG59" s="63">
        <f t="shared" si="28"/>
        <v>-165.44793489021424</v>
      </c>
      <c r="AH59" s="116">
        <f t="shared" si="55"/>
        <v>-175</v>
      </c>
      <c r="AI59" s="63" t="str">
        <f t="shared" si="52"/>
        <v>2.21993358449982E-14+4.93038065763132E-32i</v>
      </c>
      <c r="AJ59" s="134">
        <f t="shared" si="31"/>
        <v>-136.53660018484817</v>
      </c>
      <c r="AK59" s="63">
        <f t="shared" si="53"/>
        <v>-111.75854644763353</v>
      </c>
      <c r="AL59" s="49">
        <f t="shared" si="54"/>
        <v>2.8878250174139756E-8</v>
      </c>
    </row>
    <row r="60" spans="1:40" x14ac:dyDescent="0.25">
      <c r="A60" s="49"/>
      <c r="B60" s="49"/>
      <c r="C60" s="49"/>
      <c r="D60" s="49"/>
      <c r="E60" s="68">
        <v>39.810717055349862</v>
      </c>
      <c r="F60" s="61" t="str">
        <f t="shared" si="16"/>
        <v>250138.112470458i</v>
      </c>
      <c r="G60" s="83" t="str">
        <f t="shared" si="34"/>
        <v>2440.02052338099-5552.10071033299i</v>
      </c>
      <c r="H60" s="62" t="str">
        <f t="shared" si="35"/>
        <v>-15.2598466529355-6.70635151619505i</v>
      </c>
      <c r="I60" s="62" t="str">
        <f t="shared" si="36"/>
        <v>84.5940527841229-2.16056550986406i</v>
      </c>
      <c r="J60" s="89" t="str">
        <f t="shared" si="37"/>
        <v>212608.043811191-5430.0933867106i</v>
      </c>
      <c r="K60" s="89" t="str">
        <f t="shared" si="38"/>
        <v>14.9245117686915+31.7342818487122i</v>
      </c>
      <c r="L60" s="89" t="str">
        <f t="shared" si="39"/>
        <v>-0.0574256598015367+0.0270070688733008i</v>
      </c>
      <c r="M60" s="63">
        <f t="shared" si="17"/>
        <v>-155.02059991327963</v>
      </c>
      <c r="N60" s="63">
        <f t="shared" si="18"/>
        <v>-152.51029995663981</v>
      </c>
      <c r="O60" s="63" t="str">
        <f t="shared" si="40"/>
        <v>6.27102224567324E-12-2.52435489670724E-29i</v>
      </c>
      <c r="P60" s="63">
        <f t="shared" si="20"/>
        <v>-112.02661658616135</v>
      </c>
      <c r="Q60" s="63" t="str">
        <f t="shared" si="41"/>
        <v>4.57832718928659E-14</v>
      </c>
      <c r="R60" s="63">
        <f t="shared" si="42"/>
        <v>-133.39293173779402</v>
      </c>
      <c r="S60" s="63" t="str">
        <f t="shared" si="43"/>
        <v>1.33831286449794E-13-3.94430452610506E-31i</v>
      </c>
      <c r="T60" s="63">
        <f t="shared" si="21"/>
        <v>-128.73442347374134</v>
      </c>
      <c r="U60" s="63" t="str">
        <f t="shared" si="44"/>
        <v>2.78376414265971E-14</v>
      </c>
      <c r="V60" s="63">
        <f t="shared" si="23"/>
        <v>-135.55367563558815</v>
      </c>
      <c r="W60" s="63">
        <f t="shared" si="45"/>
        <v>102.64873945531943</v>
      </c>
      <c r="X60" s="63" t="str">
        <f t="shared" si="46"/>
        <v>2727.2053731277-5671.41044018959i</v>
      </c>
      <c r="Y60" s="90" t="str">
        <f t="shared" si="47"/>
        <v>2.75683279463435E-09-5.52506584131822E-09i</v>
      </c>
      <c r="Z60" s="90" t="str">
        <f t="shared" si="48"/>
        <v>2.7272053731277E-10-5.67141044018959E-10i</v>
      </c>
      <c r="AA60" s="90" t="str">
        <f t="shared" si="49"/>
        <v>1.37841639731718E-09-2.76253292065911E-09i</v>
      </c>
      <c r="AB60" s="90" t="str">
        <f t="shared" si="50"/>
        <v>2.95486182993592E-14</v>
      </c>
      <c r="AC60" s="90">
        <f t="shared" si="25"/>
        <v>-135.29462822024462</v>
      </c>
      <c r="AD60" s="90" t="str">
        <f t="shared" si="51"/>
        <v>3.67274806460732E-15</v>
      </c>
      <c r="AE60" s="63">
        <f t="shared" si="26"/>
        <v>-144.35008861446002</v>
      </c>
      <c r="AF60" s="63" t="str">
        <f t="shared" si="27"/>
        <v>4.61135995386753E-17-1.92592994438724E-34i</v>
      </c>
      <c r="AG60" s="63">
        <f t="shared" si="28"/>
        <v>-163.36170976267471</v>
      </c>
      <c r="AH60" s="116">
        <f t="shared" si="55"/>
        <v>-175</v>
      </c>
      <c r="AI60" s="63" t="str">
        <f t="shared" si="52"/>
        <v>2.26445068374675E-14</v>
      </c>
      <c r="AJ60" s="134">
        <f t="shared" si="31"/>
        <v>-136.45037133143919</v>
      </c>
      <c r="AK60" s="63">
        <f t="shared" si="53"/>
        <v>-111.84795185681148</v>
      </c>
      <c r="AL60" s="49">
        <f t="shared" si="54"/>
        <v>3.1741711021342012E-8</v>
      </c>
    </row>
    <row r="61" spans="1:40" x14ac:dyDescent="0.25">
      <c r="A61" s="49"/>
      <c r="B61" s="49"/>
      <c r="C61" s="49"/>
      <c r="D61" s="49"/>
      <c r="E61" s="68">
        <v>44.668359215096466</v>
      </c>
      <c r="F61" s="61" t="str">
        <f t="shared" si="16"/>
        <v>280659.578316114i</v>
      </c>
      <c r="G61" s="83" t="str">
        <f t="shared" si="34"/>
        <v>2437.36414022076-4991.71462684407i</v>
      </c>
      <c r="H61" s="62" t="str">
        <f t="shared" si="35"/>
        <v>-12.2276382888667-5.97053503912275i</v>
      </c>
      <c r="I61" s="62" t="str">
        <f t="shared" si="36"/>
        <v>85.5545537844423-2.95375190609674i</v>
      </c>
      <c r="J61" s="89" t="str">
        <f t="shared" si="37"/>
        <v>215022.046120285-7423.58823097642i</v>
      </c>
      <c r="K61" s="89" t="str">
        <f t="shared" si="38"/>
        <v>18.1847237832295+34.1965166745007i</v>
      </c>
      <c r="L61" s="89" t="str">
        <f t="shared" si="39"/>
        <v>-0.0694319223055288+0.0369218988262091i</v>
      </c>
      <c r="M61" s="63">
        <f t="shared" si="17"/>
        <v>-155.52059991327963</v>
      </c>
      <c r="N61" s="63">
        <f t="shared" si="18"/>
        <v>-152.51029995663981</v>
      </c>
      <c r="O61" s="63" t="str">
        <f t="shared" si="40"/>
        <v>6.16687120037404E-12</v>
      </c>
      <c r="P61" s="63">
        <f t="shared" si="20"/>
        <v>-112.09935122037609</v>
      </c>
      <c r="Q61" s="63" t="str">
        <f t="shared" si="41"/>
        <v>4.68540971748548E-14</v>
      </c>
      <c r="R61" s="63">
        <f t="shared" si="42"/>
        <v>-133.29252426064801</v>
      </c>
      <c r="S61" s="63" t="str">
        <f t="shared" si="43"/>
        <v>1.3696146738983E-13</v>
      </c>
      <c r="T61" s="63">
        <f t="shared" si="21"/>
        <v>-128.63401599659534</v>
      </c>
      <c r="U61" s="63" t="str">
        <f t="shared" si="44"/>
        <v>3.39507514123387E-14</v>
      </c>
      <c r="V61" s="63">
        <f t="shared" si="23"/>
        <v>-134.69150609288604</v>
      </c>
      <c r="W61" s="63">
        <f t="shared" si="45"/>
        <v>102.64873945531943</v>
      </c>
      <c r="X61" s="63" t="str">
        <f t="shared" si="46"/>
        <v>2726.81177180348-5069.50314636685i</v>
      </c>
      <c r="Y61" s="90" t="str">
        <f t="shared" si="47"/>
        <v>2.75644934976566E-09-4.93869011277385E-09i</v>
      </c>
      <c r="Z61" s="90" t="str">
        <f t="shared" si="48"/>
        <v>2.72681177180348E-10-5.06950314636685E-10i</v>
      </c>
      <c r="AA61" s="90" t="str">
        <f t="shared" si="49"/>
        <v>1.37822467488283E-09-2.46934505638692E-09i</v>
      </c>
      <c r="AB61" s="90" t="str">
        <f t="shared" si="50"/>
        <v>3.02396284801607E-14</v>
      </c>
      <c r="AC61" s="90">
        <f t="shared" si="25"/>
        <v>-135.19423548819219</v>
      </c>
      <c r="AD61" s="90" t="str">
        <f t="shared" si="51"/>
        <v>4.4799253414793E-15</v>
      </c>
      <c r="AE61" s="63">
        <f t="shared" si="26"/>
        <v>-143.48729223513851</v>
      </c>
      <c r="AF61" s="63" t="str">
        <f t="shared" si="27"/>
        <v>7.47944378482146E-17</v>
      </c>
      <c r="AG61" s="63">
        <f t="shared" si="28"/>
        <v>-161.26130697612081</v>
      </c>
      <c r="AH61" s="116">
        <f t="shared" si="55"/>
        <v>-175</v>
      </c>
      <c r="AI61" s="63" t="str">
        <f t="shared" si="52"/>
        <v>2.31741393739207E-14</v>
      </c>
      <c r="AJ61" s="134">
        <f t="shared" si="31"/>
        <v>-136.34996385429309</v>
      </c>
      <c r="AK61" s="63">
        <f t="shared" si="53"/>
        <v>-111.9093842701582</v>
      </c>
      <c r="AL61" s="49">
        <f t="shared" si="54"/>
        <v>3.5114548781428639E-8</v>
      </c>
    </row>
    <row r="62" spans="1:40" x14ac:dyDescent="0.25">
      <c r="A62" s="49"/>
      <c r="B62" s="49"/>
      <c r="C62" s="49"/>
      <c r="D62" s="49"/>
      <c r="E62" s="68">
        <v>50.118723362727401</v>
      </c>
      <c r="F62" s="61" t="str">
        <f t="shared" si="16"/>
        <v>314905.226247287i</v>
      </c>
      <c r="G62" s="83" t="str">
        <f t="shared" si="34"/>
        <v>2434.0242488289-4497.49082196289i</v>
      </c>
      <c r="H62" s="62" t="str">
        <f t="shared" si="35"/>
        <v>-9.81890639589259-5.31395331545181i</v>
      </c>
      <c r="I62" s="62" t="str">
        <f t="shared" si="36"/>
        <v>86.6550746153574-4.01010672177318i</v>
      </c>
      <c r="J62" s="89" t="str">
        <f t="shared" si="37"/>
        <v>217787.956646306-10078.4974537873i</v>
      </c>
      <c r="K62" s="89" t="str">
        <f t="shared" si="38"/>
        <v>22.003340757633+36.5162038541535i</v>
      </c>
      <c r="L62" s="89" t="str">
        <f t="shared" si="39"/>
        <v>-0.0831884326919674+0.050126334022165i</v>
      </c>
      <c r="M62" s="63">
        <f t="shared" si="17"/>
        <v>-156.02059991327965</v>
      </c>
      <c r="N62" s="63">
        <f t="shared" si="18"/>
        <v>-152.51029995663981</v>
      </c>
      <c r="O62" s="63" t="str">
        <f t="shared" si="40"/>
        <v>6.10299277804706E-12+5.04870979341448E-29i</v>
      </c>
      <c r="P62" s="63">
        <f t="shared" si="20"/>
        <v>-112.144571439638</v>
      </c>
      <c r="Q62" s="63" t="str">
        <f t="shared" si="41"/>
        <v>4.81128429780639E-14</v>
      </c>
      <c r="R62" s="63">
        <f t="shared" si="42"/>
        <v>-133.17738979966987</v>
      </c>
      <c r="S62" s="63" t="str">
        <f t="shared" si="43"/>
        <v>1.4064096785347E-13+7.88860905221012E-31i</v>
      </c>
      <c r="T62" s="63">
        <f t="shared" si="21"/>
        <v>-128.5188815356172</v>
      </c>
      <c r="U62" s="63" t="str">
        <f t="shared" si="44"/>
        <v>4.11289783863473E-14+3.15544362088405E-30i</v>
      </c>
      <c r="V62" s="63">
        <f t="shared" si="23"/>
        <v>-133.85852077913202</v>
      </c>
      <c r="W62" s="63">
        <f t="shared" si="45"/>
        <v>102.64873945531943</v>
      </c>
      <c r="X62" s="63" t="str">
        <f t="shared" si="46"/>
        <v>2726.31641861132-4534.85964694663i</v>
      </c>
      <c r="Y62" s="90" t="str">
        <f t="shared" si="47"/>
        <v>2.75596677862568E-09-4.41784250932818E-09i</v>
      </c>
      <c r="Z62" s="90" t="str">
        <f t="shared" si="48"/>
        <v>2.72631641861132E-10-4.53485964694663E-10i</v>
      </c>
      <c r="AA62" s="90" t="str">
        <f t="shared" si="49"/>
        <v>1.37798338931284E-09-2.20892125466409E-09i</v>
      </c>
      <c r="AB62" s="90" t="str">
        <f t="shared" si="50"/>
        <v>3.10541149346783E-14</v>
      </c>
      <c r="AC62" s="90">
        <f t="shared" si="25"/>
        <v>-135.07880843957082</v>
      </c>
      <c r="AD62" s="90" t="str">
        <f t="shared" si="51"/>
        <v>5.4281046137123E-15</v>
      </c>
      <c r="AE62" s="63">
        <f t="shared" si="26"/>
        <v>-142.65351790945945</v>
      </c>
      <c r="AF62" s="63" t="str">
        <f t="shared" si="27"/>
        <v>1.21725665603911E-16</v>
      </c>
      <c r="AG62" s="63">
        <f t="shared" si="28"/>
        <v>-159.14617842024907</v>
      </c>
      <c r="AH62" s="116">
        <f t="shared" si="55"/>
        <v>-175</v>
      </c>
      <c r="AI62" s="63" t="str">
        <f t="shared" si="52"/>
        <v>2.37967178129211E-14-1.97215226305253E-31i</v>
      </c>
      <c r="AJ62" s="134">
        <f t="shared" si="31"/>
        <v>-136.23482939331504</v>
      </c>
      <c r="AK62" s="63">
        <f t="shared" si="53"/>
        <v>-111.94276530870403</v>
      </c>
      <c r="AL62" s="49">
        <f t="shared" si="54"/>
        <v>3.9097499997531259E-8</v>
      </c>
    </row>
    <row r="63" spans="1:40" x14ac:dyDescent="0.25">
      <c r="A63" s="49"/>
      <c r="B63" s="49"/>
      <c r="C63" s="49"/>
      <c r="D63" s="49"/>
      <c r="E63" s="68">
        <v>56.234132519035121</v>
      </c>
      <c r="F63" s="61" t="str">
        <f t="shared" si="16"/>
        <v>353329.475205591i</v>
      </c>
      <c r="G63" s="83" t="str">
        <f t="shared" si="34"/>
        <v>2429.8263716543-4062.84062455254i</v>
      </c>
      <c r="H63" s="62" t="str">
        <f t="shared" si="35"/>
        <v>-7.90537763019799-4.7278977490919i</v>
      </c>
      <c r="I63" s="62" t="str">
        <f t="shared" si="36"/>
        <v>87.8876619585793-5.40043734269981i</v>
      </c>
      <c r="J63" s="89" t="str">
        <f t="shared" si="37"/>
        <v>220885.786520205-13572.7794255986i</v>
      </c>
      <c r="K63" s="89" t="str">
        <f t="shared" si="38"/>
        <v>26.409587962253+38.5727838492946i</v>
      </c>
      <c r="L63" s="89" t="str">
        <f t="shared" si="39"/>
        <v>-0.0985957744822422+0.0675054667837478i</v>
      </c>
      <c r="M63" s="63">
        <f t="shared" si="17"/>
        <v>-156.52059991327963</v>
      </c>
      <c r="N63" s="63">
        <f t="shared" si="18"/>
        <v>-152.51029995663981</v>
      </c>
      <c r="O63" s="63" t="str">
        <f t="shared" si="40"/>
        <v>6.07728978154452E-12+5.04870979341448E-29i</v>
      </c>
      <c r="P63" s="63">
        <f t="shared" si="20"/>
        <v>-112.16290054828389</v>
      </c>
      <c r="Q63" s="63" t="str">
        <f t="shared" si="41"/>
        <v>4.95720040893024E-14</v>
      </c>
      <c r="R63" s="63">
        <f t="shared" si="42"/>
        <v>-133.0476352314989</v>
      </c>
      <c r="S63" s="63" t="str">
        <f t="shared" si="43"/>
        <v>1.44906311953637E-13</v>
      </c>
      <c r="T63" s="63">
        <f t="shared" si="21"/>
        <v>-128.38912696744623</v>
      </c>
      <c r="U63" s="63" t="str">
        <f t="shared" si="44"/>
        <v>4.9439181480137E-14-3.15544362088405E-30i</v>
      </c>
      <c r="V63" s="63">
        <f t="shared" si="23"/>
        <v>-133.05928728081102</v>
      </c>
      <c r="W63" s="63">
        <f t="shared" si="45"/>
        <v>102.64873945531943</v>
      </c>
      <c r="X63" s="63" t="str">
        <f t="shared" si="46"/>
        <v>2725.69306173513-4060.38331074898i</v>
      </c>
      <c r="Y63" s="90" t="str">
        <f t="shared" si="47"/>
        <v>2.755359506798E-09-3.95560952067645E-09i</v>
      </c>
      <c r="Z63" s="90" t="str">
        <f t="shared" si="48"/>
        <v>2.72569306173513E-10-4.06038331074898E-10i</v>
      </c>
      <c r="AA63" s="90" t="str">
        <f t="shared" si="49"/>
        <v>1.377679753399E-09-1.97780476033823E-09i</v>
      </c>
      <c r="AB63" s="90" t="str">
        <f t="shared" si="50"/>
        <v>3.20016155231083E-14</v>
      </c>
      <c r="AC63" s="90">
        <f t="shared" si="25"/>
        <v>-134.94828096834425</v>
      </c>
      <c r="AD63" s="90" t="str">
        <f t="shared" si="51"/>
        <v>6.52635764113483E-15</v>
      </c>
      <c r="AE63" s="63">
        <f t="shared" si="26"/>
        <v>-141.85329130775617</v>
      </c>
      <c r="AF63" s="63" t="str">
        <f t="shared" si="27"/>
        <v>1.98772761535754E-16</v>
      </c>
      <c r="AG63" s="63">
        <f t="shared" si="28"/>
        <v>-157.01643128616766</v>
      </c>
      <c r="AH63" s="116">
        <f t="shared" si="55"/>
        <v>-175</v>
      </c>
      <c r="AI63" s="63" t="str">
        <f t="shared" si="52"/>
        <v>2.45184221034691E-14-1.97215226305253E-31i</v>
      </c>
      <c r="AJ63" s="134">
        <f t="shared" si="31"/>
        <v>-136.10507482514407</v>
      </c>
      <c r="AK63" s="63">
        <f t="shared" si="53"/>
        <v>-111.94876343412523</v>
      </c>
      <c r="AL63" s="49">
        <f t="shared" si="54"/>
        <v>4.3807571226509087E-8</v>
      </c>
    </row>
    <row r="64" spans="1:40" x14ac:dyDescent="0.25">
      <c r="A64" s="49"/>
      <c r="B64" s="49"/>
      <c r="C64" s="49"/>
      <c r="D64" s="49"/>
      <c r="E64" s="68">
        <v>63.095734448019563</v>
      </c>
      <c r="F64" s="61" t="str">
        <f t="shared" si="16"/>
        <v>396442.191629501i</v>
      </c>
      <c r="G64" s="83" t="str">
        <f t="shared" si="34"/>
        <v>2424.55230378903-3681.95340063068i</v>
      </c>
      <c r="H64" s="62" t="str">
        <f t="shared" si="35"/>
        <v>-6.38515025993823-4.2045971494698i</v>
      </c>
      <c r="I64" s="62" t="str">
        <f t="shared" si="36"/>
        <v>89.2293497147888-7.2060565869347i</v>
      </c>
      <c r="J64" s="89" t="str">
        <f t="shared" si="37"/>
        <v>224257.81563886-18110.7955478935i</v>
      </c>
      <c r="K64" s="89" t="str">
        <f t="shared" si="38"/>
        <v>31.4072825800866+40.2257172179823i</v>
      </c>
      <c r="L64" s="89" t="str">
        <f t="shared" si="39"/>
        <v>-0.115366871434861+0.0900757073366842i</v>
      </c>
      <c r="M64" s="63">
        <f t="shared" si="17"/>
        <v>-157.02059991327963</v>
      </c>
      <c r="N64" s="63">
        <f t="shared" si="18"/>
        <v>-152.51029995663981</v>
      </c>
      <c r="O64" s="63" t="str">
        <f t="shared" si="40"/>
        <v>6.08721576228854E-12</v>
      </c>
      <c r="P64" s="63">
        <f t="shared" si="20"/>
        <v>-112.15581304340205</v>
      </c>
      <c r="Q64" s="63" t="str">
        <f t="shared" si="41"/>
        <v>5.12368806050087E-14</v>
      </c>
      <c r="R64" s="63">
        <f t="shared" si="42"/>
        <v>-132.90417318764787</v>
      </c>
      <c r="S64" s="63" t="str">
        <f t="shared" si="43"/>
        <v>1.49772992657419E-13</v>
      </c>
      <c r="T64" s="63">
        <f t="shared" si="21"/>
        <v>-128.2456649235952</v>
      </c>
      <c r="U64" s="63" t="str">
        <f t="shared" si="44"/>
        <v>5.89058870504358E-14+6.31088724176809E-30i</v>
      </c>
      <c r="V64" s="63">
        <f t="shared" si="23"/>
        <v>-132.29841299682241</v>
      </c>
      <c r="W64" s="63">
        <f t="shared" si="45"/>
        <v>102.64873945531943</v>
      </c>
      <c r="X64" s="63" t="str">
        <f t="shared" si="46"/>
        <v>2724.90870712748-3639.77496884698i</v>
      </c>
      <c r="Y64" s="90" t="str">
        <f t="shared" si="47"/>
        <v>2.75459539161079E-09-3.5458545211179E-09i</v>
      </c>
      <c r="Z64" s="90" t="str">
        <f t="shared" si="48"/>
        <v>2.72490870712748E-10-3.63977496884698E-10i</v>
      </c>
      <c r="AA64" s="90" t="str">
        <f t="shared" si="49"/>
        <v>1.3772976958054E-09-1.77292726055895E-09i</v>
      </c>
      <c r="AB64" s="90" t="str">
        <f t="shared" si="50"/>
        <v>3.30876746773207E-14-3.15544362088405E-30i</v>
      </c>
      <c r="AC64" s="90">
        <f t="shared" si="25"/>
        <v>-134.80333752945714</v>
      </c>
      <c r="AD64" s="90" t="str">
        <f t="shared" si="51"/>
        <v>7.77827493080236E-15</v>
      </c>
      <c r="AE64" s="63">
        <f t="shared" si="26"/>
        <v>-141.09116710350276</v>
      </c>
      <c r="AF64" s="63" t="str">
        <f t="shared" si="27"/>
        <v>3.25613303074734E-16-3.08148791101958E-33i</v>
      </c>
      <c r="AG64" s="63">
        <f t="shared" si="28"/>
        <v>-154.87297860128268</v>
      </c>
      <c r="AH64" s="116">
        <f t="shared" si="55"/>
        <v>-175</v>
      </c>
      <c r="AI64" s="63" t="str">
        <f t="shared" si="52"/>
        <v>2.53418736849042E-14</v>
      </c>
      <c r="AJ64" s="134">
        <f t="shared" si="31"/>
        <v>-135.96161278129301</v>
      </c>
      <c r="AK64" s="63">
        <f t="shared" si="53"/>
        <v>-111.92893730745621</v>
      </c>
      <c r="AL64" s="49">
        <f t="shared" si="54"/>
        <v>4.9377805927521235E-8</v>
      </c>
    </row>
    <row r="65" spans="1:38" x14ac:dyDescent="0.25">
      <c r="A65" s="49"/>
      <c r="B65" s="49"/>
      <c r="C65" s="49"/>
      <c r="D65" s="49"/>
      <c r="E65" s="68">
        <v>70.794578438414078</v>
      </c>
      <c r="F65" s="61" t="str">
        <f t="shared" si="16"/>
        <v>444815.455072216i</v>
      </c>
      <c r="G65" s="83" t="str">
        <f t="shared" si="34"/>
        <v>2417.92962573488-3349.7144324891i</v>
      </c>
      <c r="H65" s="62" t="str">
        <f t="shared" si="35"/>
        <v>-5.17726766477205-3.73711524349541i</v>
      </c>
      <c r="I65" s="62" t="str">
        <f t="shared" si="36"/>
        <v>90.6374368528946-9.5165861048172i</v>
      </c>
      <c r="J65" s="89" t="str">
        <f t="shared" si="37"/>
        <v>227796.724605811-23917.7895953192i</v>
      </c>
      <c r="K65" s="89" t="str">
        <f t="shared" si="38"/>
        <v>36.9669717166462+41.3208920664848i</v>
      </c>
      <c r="L65" s="89" t="str">
        <f t="shared" si="39"/>
        <v>-0.132967960661182+0.118957326310215i</v>
      </c>
      <c r="M65" s="63">
        <f t="shared" si="17"/>
        <v>-157.52059991327963</v>
      </c>
      <c r="N65" s="63">
        <f t="shared" si="18"/>
        <v>-152.51029995663981</v>
      </c>
      <c r="O65" s="63" t="str">
        <f t="shared" si="40"/>
        <v>6.12957831656327E-12</v>
      </c>
      <c r="P65" s="63">
        <f t="shared" si="20"/>
        <v>-112.12569401678795</v>
      </c>
      <c r="Q65" s="63" t="str">
        <f t="shared" si="41"/>
        <v>5.31032060636795E-14</v>
      </c>
      <c r="R65" s="63">
        <f t="shared" si="42"/>
        <v>-132.74879257944295</v>
      </c>
      <c r="S65" s="63" t="str">
        <f t="shared" si="43"/>
        <v>1.55228538465774E-13-3.15544362088405E-30i</v>
      </c>
      <c r="T65" s="63">
        <f t="shared" si="21"/>
        <v>-128.09028431539025</v>
      </c>
      <c r="U65" s="63" t="str">
        <f t="shared" si="44"/>
        <v>6.94980805250895E-14</v>
      </c>
      <c r="V65" s="63">
        <f t="shared" si="23"/>
        <v>-131.58027190069936</v>
      </c>
      <c r="W65" s="63">
        <f t="shared" si="45"/>
        <v>102.64873945531943</v>
      </c>
      <c r="X65" s="63" t="str">
        <f t="shared" si="46"/>
        <v>2723.92190482168-3267.4489516801i</v>
      </c>
      <c r="Y65" s="90" t="str">
        <f t="shared" si="47"/>
        <v>2.75363405266885E-09-3.18313597324041E-09i</v>
      </c>
      <c r="Z65" s="90" t="str">
        <f t="shared" si="48"/>
        <v>2.72392190482168E-10-3.2674489516801E-10i</v>
      </c>
      <c r="AA65" s="90" t="str">
        <f t="shared" si="49"/>
        <v>1.37681702633443E-09-1.59156798662021E-09i</v>
      </c>
      <c r="AB65" s="90" t="str">
        <f t="shared" si="50"/>
        <v>3.43125004555581E-14+3.15544362088405E-30i</v>
      </c>
      <c r="AC65" s="90">
        <f t="shared" si="25"/>
        <v>-134.6454763243982</v>
      </c>
      <c r="AD65" s="90" t="str">
        <f t="shared" si="51"/>
        <v>9.18025413327854E-15</v>
      </c>
      <c r="AE65" s="63">
        <f t="shared" si="26"/>
        <v>-140.37145296233086</v>
      </c>
      <c r="AF65" s="63" t="str">
        <f t="shared" si="27"/>
        <v>5.34858648330803E-16</v>
      </c>
      <c r="AG65" s="63">
        <f t="shared" si="28"/>
        <v>-152.71760977532088</v>
      </c>
      <c r="AH65" s="116">
        <f t="shared" si="55"/>
        <v>-175</v>
      </c>
      <c r="AI65" s="63" t="str">
        <f t="shared" si="52"/>
        <v>2.62649623559956E-14</v>
      </c>
      <c r="AJ65" s="134">
        <f t="shared" si="31"/>
        <v>-135.80623217308812</v>
      </c>
      <c r="AK65" s="63">
        <f t="shared" si="53"/>
        <v>-111.88579121140036</v>
      </c>
      <c r="AL65" s="49">
        <f t="shared" si="54"/>
        <v>5.5955966052279089E-8</v>
      </c>
    </row>
    <row r="66" spans="1:38" x14ac:dyDescent="0.25">
      <c r="A66" s="49"/>
      <c r="B66" s="49"/>
      <c r="C66" s="49"/>
      <c r="D66" s="49"/>
      <c r="E66" s="68">
        <v>79.432823472428467</v>
      </c>
      <c r="F66" s="61" t="str">
        <f t="shared" si="16"/>
        <v>499091.149349752i</v>
      </c>
      <c r="G66" s="83" t="str">
        <f t="shared" si="34"/>
        <v>2409.61897650303-3061.6300591218i</v>
      </c>
      <c r="H66" s="62" t="str">
        <f t="shared" si="35"/>
        <v>-4.21740731805924-3.31925951502882i</v>
      </c>
      <c r="I66" s="62" t="str">
        <f t="shared" si="36"/>
        <v>92.0450303611263-12.4263351458701i</v>
      </c>
      <c r="J66" s="89" t="str">
        <f t="shared" si="37"/>
        <v>231334.392945571-31230.7865642481i</v>
      </c>
      <c r="K66" s="89" t="str">
        <f t="shared" si="38"/>
        <v>43.0205299991689+41.7004357204988i</v>
      </c>
      <c r="L66" s="89" t="str">
        <f t="shared" si="39"/>
        <v>-0.150562879514078+0.155329189323377i</v>
      </c>
      <c r="M66" s="63">
        <f t="shared" si="17"/>
        <v>-158.02059991327965</v>
      </c>
      <c r="N66" s="63">
        <f t="shared" si="18"/>
        <v>-152.51029995663981</v>
      </c>
      <c r="O66" s="63" t="str">
        <f t="shared" si="40"/>
        <v>6.20042925091743E-12-1.0097419586829E-28i</v>
      </c>
      <c r="P66" s="63">
        <f t="shared" si="20"/>
        <v>-112.07578243590176</v>
      </c>
      <c r="Q66" s="63" t="str">
        <f t="shared" si="41"/>
        <v>5.51554873326848E-14</v>
      </c>
      <c r="R66" s="63">
        <f t="shared" si="42"/>
        <v>-132.58411273799402</v>
      </c>
      <c r="S66" s="63" t="str">
        <f t="shared" si="43"/>
        <v>1.61227660656746E-13</v>
      </c>
      <c r="T66" s="63">
        <f t="shared" si="21"/>
        <v>-127.92560447394135</v>
      </c>
      <c r="U66" s="63" t="str">
        <f t="shared" si="44"/>
        <v>8.11207615783649E-14+6.31088724176809E-30i</v>
      </c>
      <c r="V66" s="63">
        <f t="shared" si="23"/>
        <v>-130.90867980745838</v>
      </c>
      <c r="W66" s="63">
        <f t="shared" si="45"/>
        <v>102.64873945531943</v>
      </c>
      <c r="X66" s="63" t="str">
        <f t="shared" si="46"/>
        <v>2722.68061013205-2938.45844043669i</v>
      </c>
      <c r="Y66" s="90" t="str">
        <f t="shared" si="47"/>
        <v>2.75242478824318E-09-2.86263470552966E-09i</v>
      </c>
      <c r="Z66" s="90" t="str">
        <f t="shared" si="48"/>
        <v>2.72268061013205E-10-2.93845844043669E-10i</v>
      </c>
      <c r="AA66" s="90" t="str">
        <f t="shared" si="49"/>
        <v>1.37621239412159E-09-1.43131735276483E-09i</v>
      </c>
      <c r="AB66" s="90" t="str">
        <f t="shared" si="50"/>
        <v>3.56700994841282E-14</v>
      </c>
      <c r="AC66" s="90">
        <f t="shared" si="25"/>
        <v>-134.47695679409958</v>
      </c>
      <c r="AD66" s="90" t="str">
        <f t="shared" si="51"/>
        <v>1.07204216404414E-14</v>
      </c>
      <c r="AE66" s="63">
        <f t="shared" si="26"/>
        <v>-139.69788133251834</v>
      </c>
      <c r="AF66" s="63" t="str">
        <f t="shared" si="27"/>
        <v>8.80451673593947E-16</v>
      </c>
      <c r="AG66" s="63">
        <f t="shared" si="28"/>
        <v>-150.5529447668417</v>
      </c>
      <c r="AH66" s="116">
        <f t="shared" si="55"/>
        <v>-175</v>
      </c>
      <c r="AI66" s="63" t="str">
        <f t="shared" si="52"/>
        <v>2.72800251793158E-14+7.88860905221012E-31i</v>
      </c>
      <c r="AJ66" s="134">
        <f t="shared" si="31"/>
        <v>-135.64155233163913</v>
      </c>
      <c r="AK66" s="63">
        <f t="shared" si="53"/>
        <v>-111.82270451992315</v>
      </c>
      <c r="AL66" s="49">
        <f t="shared" si="54"/>
        <v>6.3702293275408198E-8</v>
      </c>
    </row>
    <row r="67" spans="1:38" x14ac:dyDescent="0.25">
      <c r="A67" s="49"/>
      <c r="B67" s="49"/>
      <c r="C67" s="49"/>
      <c r="D67" s="49"/>
      <c r="E67" s="68">
        <v>89.125093813374917</v>
      </c>
      <c r="F67" s="61" t="str">
        <f t="shared" si="16"/>
        <v>559989.4799492i</v>
      </c>
      <c r="G67" s="83" t="str">
        <f t="shared" si="34"/>
        <v>2399.19877312892-2813.75834396744i</v>
      </c>
      <c r="H67" s="62" t="str">
        <f t="shared" si="35"/>
        <v>-3.45445571879867-2.94550025596154i</v>
      </c>
      <c r="I67" s="62" t="str">
        <f t="shared" si="36"/>
        <v>93.3572871620527-16.0295793700588i</v>
      </c>
      <c r="J67" s="89" t="str">
        <f t="shared" si="37"/>
        <v>234632.454005902-40286.7270312897i</v>
      </c>
      <c r="K67" s="89" t="str">
        <f t="shared" si="38"/>
        <v>49.4600806367357+41.2145874118927i</v>
      </c>
      <c r="L67" s="89" t="str">
        <f t="shared" si="39"/>
        <v>-0.166966089525658+0.200369742125734i</v>
      </c>
      <c r="M67" s="63">
        <f t="shared" si="17"/>
        <v>-158.52059991327965</v>
      </c>
      <c r="N67" s="63">
        <f t="shared" si="18"/>
        <v>-152.51029995663981</v>
      </c>
      <c r="O67" s="63" t="str">
        <f t="shared" si="40"/>
        <v>6.29507856101085E-12</v>
      </c>
      <c r="P67" s="63">
        <f t="shared" si="20"/>
        <v>-112.00998845635451</v>
      </c>
      <c r="Q67" s="63" t="str">
        <f t="shared" si="41"/>
        <v>5.73665723702586E-14+1.57772181044202E-30i</v>
      </c>
      <c r="R67" s="63">
        <f t="shared" si="42"/>
        <v>-132.41341098263862</v>
      </c>
      <c r="S67" s="63" t="str">
        <f t="shared" si="43"/>
        <v>1.67690989789728E-13+3.15544362088405E-30i</v>
      </c>
      <c r="T67" s="63">
        <f t="shared" si="21"/>
        <v>-127.75490271858595</v>
      </c>
      <c r="U67" s="63" t="str">
        <f t="shared" si="44"/>
        <v>9.36147207787302E-14+6.31088724176809E-30i</v>
      </c>
      <c r="V67" s="63">
        <f t="shared" si="23"/>
        <v>-130.28655853716077</v>
      </c>
      <c r="W67" s="63">
        <f t="shared" si="45"/>
        <v>102.64873945531943</v>
      </c>
      <c r="X67" s="63" t="str">
        <f t="shared" si="46"/>
        <v>2721.11952041468-2648.42908040014i</v>
      </c>
      <c r="Y67" s="90" t="str">
        <f t="shared" si="47"/>
        <v>2.75090398075382E-09-2.58008923875089E-09i</v>
      </c>
      <c r="Z67" s="90" t="str">
        <f t="shared" si="48"/>
        <v>2.72111952041468E-10-2.64842908040014E-10i</v>
      </c>
      <c r="AA67" s="90" t="str">
        <f t="shared" si="49"/>
        <v>1.37545199037691E-09-1.29004461937545E-09i</v>
      </c>
      <c r="AB67" s="90" t="str">
        <f t="shared" si="50"/>
        <v>3.71482183921329E-14+3.15544362088405E-30i</v>
      </c>
      <c r="AC67" s="90">
        <f t="shared" si="25"/>
        <v>-134.30062009925462</v>
      </c>
      <c r="AD67" s="90" t="str">
        <f t="shared" si="51"/>
        <v>1.2378644036703E-14</v>
      </c>
      <c r="AE67" s="63">
        <f t="shared" si="26"/>
        <v>-139.07326925560642</v>
      </c>
      <c r="AF67" s="63" t="str">
        <f t="shared" si="27"/>
        <v>1.45135559504463E-15+4.93038065763132E-32i</v>
      </c>
      <c r="AG67" s="63">
        <f t="shared" si="28"/>
        <v>-148.3822616850961</v>
      </c>
      <c r="AH67" s="116">
        <f t="shared" si="55"/>
        <v>-175</v>
      </c>
      <c r="AI67" s="63" t="str">
        <f t="shared" si="52"/>
        <v>2.83736326953693E-14</v>
      </c>
      <c r="AJ67" s="134">
        <f t="shared" si="31"/>
        <v>-135.47085057628377</v>
      </c>
      <c r="AK67" s="63">
        <f t="shared" si="53"/>
        <v>-111.74372511409793</v>
      </c>
      <c r="AL67" s="49">
        <f t="shared" si="54"/>
        <v>7.2786863901971022E-8</v>
      </c>
    </row>
    <row r="68" spans="1:38" x14ac:dyDescent="0.25">
      <c r="A68" s="49"/>
      <c r="B68" s="49"/>
      <c r="C68" s="49"/>
      <c r="D68" s="49"/>
      <c r="E68" s="68">
        <v>100</v>
      </c>
      <c r="F68" s="61" t="str">
        <f t="shared" si="16"/>
        <v>628318.530717959i</v>
      </c>
      <c r="G68" s="83" t="str">
        <f t="shared" si="34"/>
        <v>2386.14712513271-2602.64335843133i</v>
      </c>
      <c r="H68" s="62" t="str">
        <f t="shared" si="35"/>
        <v>-2.8477869447475-2.61089888062703i</v>
      </c>
      <c r="I68" s="62" t="str">
        <f t="shared" si="36"/>
        <v>94.448379693447-20.4153722785667i</v>
      </c>
      <c r="J68" s="89" t="str">
        <f t="shared" si="37"/>
        <v>237374.668630714-51309.4268565169i</v>
      </c>
      <c r="K68" s="89" t="str">
        <f t="shared" si="38"/>
        <v>56.1422737660581+39.7330441569795i</v>
      </c>
      <c r="L68" s="89" t="str">
        <f t="shared" si="39"/>
        <v>-0.180604746168089+0.255192153482082i</v>
      </c>
      <c r="M68" s="63">
        <f t="shared" si="17"/>
        <v>-159.02059991327963</v>
      </c>
      <c r="N68" s="63">
        <f t="shared" si="18"/>
        <v>-152.51029995663981</v>
      </c>
      <c r="O68" s="63" t="str">
        <f t="shared" si="40"/>
        <v>6.4082342633371E-12</v>
      </c>
      <c r="P68" s="63">
        <f t="shared" si="20"/>
        <v>-111.93261620298512</v>
      </c>
      <c r="Q68" s="63" t="str">
        <f t="shared" si="41"/>
        <v>5.96986514527622E-14</v>
      </c>
      <c r="R68" s="63">
        <f t="shared" si="42"/>
        <v>-132.24035479142637</v>
      </c>
      <c r="S68" s="63" t="str">
        <f t="shared" si="43"/>
        <v>1.74508002441084E-13</v>
      </c>
      <c r="T68" s="63">
        <f t="shared" si="21"/>
        <v>-127.58184652737368</v>
      </c>
      <c r="U68" s="63" t="str">
        <f t="shared" si="44"/>
        <v>1.06766490070503E-13</v>
      </c>
      <c r="V68" s="63">
        <f t="shared" si="23"/>
        <v>-129.71565034396173</v>
      </c>
      <c r="W68" s="63">
        <f t="shared" si="45"/>
        <v>102.64873945531943</v>
      </c>
      <c r="X68" s="63" t="str">
        <f t="shared" si="46"/>
        <v>2719.15676849192-2393.4998892841i</v>
      </c>
      <c r="Y68" s="90" t="str">
        <f t="shared" si="47"/>
        <v>2.7489918755169E-09-2.33173821908055E-09i</v>
      </c>
      <c r="Z68" s="90" t="str">
        <f t="shared" si="48"/>
        <v>2.71915676849192E-10-2.3934998892841E-10i</v>
      </c>
      <c r="AA68" s="90" t="str">
        <f t="shared" si="49"/>
        <v>1.37449593775845E-09-1.16586910954027E-09i</v>
      </c>
      <c r="AB68" s="90" t="str">
        <f t="shared" si="50"/>
        <v>3.8729226171019E-14</v>
      </c>
      <c r="AC68" s="90">
        <f t="shared" si="25"/>
        <v>-134.11961180344508</v>
      </c>
      <c r="AD68" s="90" t="str">
        <f t="shared" si="51"/>
        <v>1.41278886961993E-14-7.88860905221012E-31i</v>
      </c>
      <c r="AE68" s="63">
        <f t="shared" si="26"/>
        <v>-138.49922735256942</v>
      </c>
      <c r="AF68" s="63" t="str">
        <f t="shared" si="27"/>
        <v>2.39374067639822E-15-9.86076131526265E-32i</v>
      </c>
      <c r="AG68" s="63">
        <f t="shared" si="28"/>
        <v>-146.20922900257722</v>
      </c>
      <c r="AH68" s="116">
        <v>-175</v>
      </c>
      <c r="AI68" s="63" t="str">
        <f t="shared" si="52"/>
        <v>2.95270841317988E-14</v>
      </c>
      <c r="AJ68" s="134">
        <f t="shared" si="31"/>
        <v>-135.29779438507151</v>
      </c>
      <c r="AK68" s="63">
        <f t="shared" si="53"/>
        <v>-111.65325956724543</v>
      </c>
      <c r="AL68" s="49">
        <f t="shared" si="54"/>
        <v>8.3387232876039947E-8</v>
      </c>
    </row>
    <row r="69" spans="1:38" x14ac:dyDescent="0.25">
      <c r="A69" s="49"/>
      <c r="B69" s="49"/>
      <c r="C69" s="49"/>
      <c r="D69" s="49"/>
      <c r="E69" s="68">
        <v>112.20184543019658</v>
      </c>
      <c r="F69" s="61" t="str">
        <f t="shared" si="16"/>
        <v>704984.986645446i</v>
      </c>
      <c r="G69" s="83" t="str">
        <f t="shared" si="34"/>
        <v>2369.82084388829-2425.25090292026i</v>
      </c>
      <c r="H69" s="62" t="str">
        <f t="shared" si="35"/>
        <v>-2.36510000545051-2.31104471873326i</v>
      </c>
      <c r="I69" s="62" t="str">
        <f t="shared" si="36"/>
        <v>95.1584601920984-25.6625003525042i</v>
      </c>
      <c r="J69" s="89" t="str">
        <f t="shared" si="37"/>
        <v>239159.295573131-64496.8980641386i</v>
      </c>
      <c r="K69" s="89" t="str">
        <f t="shared" si="38"/>
        <v>62.8972506635741+37.1524776338943i</v>
      </c>
      <c r="L69" s="89" t="str">
        <f t="shared" si="39"/>
        <v>-0.189480752401229+0.320781254406302i</v>
      </c>
      <c r="M69" s="63">
        <f t="shared" si="17"/>
        <v>-159.52059991327963</v>
      </c>
      <c r="N69" s="63">
        <f t="shared" si="18"/>
        <v>-152.51029995663981</v>
      </c>
      <c r="O69" s="63" t="str">
        <f t="shared" si="40"/>
        <v>6.53421055780332E-12</v>
      </c>
      <c r="P69" s="63">
        <f t="shared" si="20"/>
        <v>-111.84806874969436</v>
      </c>
      <c r="Q69" s="63" t="str">
        <f t="shared" si="41"/>
        <v>6.21052748423337E-14-3.15544362088405E-30i</v>
      </c>
      <c r="R69" s="63">
        <f t="shared" si="42"/>
        <v>-132.06871511938863</v>
      </c>
      <c r="S69" s="63" t="str">
        <f t="shared" si="43"/>
        <v>1.815429191456E-13</v>
      </c>
      <c r="T69" s="63">
        <f t="shared" si="21"/>
        <v>-127.41020685533596</v>
      </c>
      <c r="U69" s="63" t="str">
        <f t="shared" si="44"/>
        <v>1.20327292197293E-13</v>
      </c>
      <c r="V69" s="63">
        <f t="shared" si="23"/>
        <v>-129.19635856397716</v>
      </c>
      <c r="W69" s="63">
        <f t="shared" si="45"/>
        <v>102.64873945531943</v>
      </c>
      <c r="X69" s="63" t="str">
        <f t="shared" si="46"/>
        <v>2716.68983267166-2170.27055695577i</v>
      </c>
      <c r="Y69" s="90" t="str">
        <f t="shared" si="47"/>
        <v>2.74658859630144E-09-2.11426907770303E-09i</v>
      </c>
      <c r="Z69" s="90" t="str">
        <f t="shared" si="48"/>
        <v>2.71668983267166E-10-2.17027055695577E-10i</v>
      </c>
      <c r="AA69" s="90" t="str">
        <f t="shared" si="49"/>
        <v>1.37329429815072E-09-1.05713453885151E-09i</v>
      </c>
      <c r="AB69" s="90" t="str">
        <f t="shared" si="50"/>
        <v>4.03916787338834E-14</v>
      </c>
      <c r="AC69" s="90">
        <f t="shared" si="25"/>
        <v>-133.93708096577191</v>
      </c>
      <c r="AD69" s="90" t="str">
        <f t="shared" si="51"/>
        <v>1.59367820089947E-14</v>
      </c>
      <c r="AE69" s="63">
        <f t="shared" si="26"/>
        <v>-137.97599367809775</v>
      </c>
      <c r="AF69" s="63" t="str">
        <f t="shared" si="27"/>
        <v>3.94673627515024E-15-1.97215226305253E-31i</v>
      </c>
      <c r="AG69" s="63">
        <f t="shared" si="28"/>
        <v>-144.03761892624891</v>
      </c>
      <c r="AH69" s="116">
        <f>AH68-(($AH$68-$AH$88)/20)</f>
        <v>-175</v>
      </c>
      <c r="AI69" s="63" t="str">
        <f t="shared" si="52"/>
        <v>3.07174053462345E-14</v>
      </c>
      <c r="AJ69" s="134">
        <f t="shared" si="31"/>
        <v>-135.1261547130338</v>
      </c>
      <c r="AK69" s="63">
        <f t="shared" si="53"/>
        <v>-111.55573858634249</v>
      </c>
      <c r="AL69" s="49">
        <f t="shared" si="54"/>
        <v>9.5686718384164631E-8</v>
      </c>
    </row>
    <row r="70" spans="1:38" x14ac:dyDescent="0.25">
      <c r="A70" s="49"/>
      <c r="B70" s="49"/>
      <c r="C70" s="49"/>
      <c r="D70" s="49"/>
      <c r="E70" s="68">
        <v>125.89254117941702</v>
      </c>
      <c r="F70" s="61" t="str">
        <f t="shared" si="16"/>
        <v>791006.165022014i</v>
      </c>
      <c r="G70" s="83" t="str">
        <f t="shared" si="34"/>
        <v>2349.43174249761-2278.90312882435i</v>
      </c>
      <c r="H70" s="62" t="str">
        <f t="shared" si="35"/>
        <v>-1.98069998736752-2.04199966370952i</v>
      </c>
      <c r="I70" s="62" t="str">
        <f t="shared" si="36"/>
        <v>95.2889920044749-31.8345232321238i</v>
      </c>
      <c r="J70" s="89" t="str">
        <f t="shared" si="37"/>
        <v>239487.357799387-80008.8834532596i</v>
      </c>
      <c r="K70" s="89" t="str">
        <f t="shared" si="38"/>
        <v>69.5394167662205+33.397314581477i</v>
      </c>
      <c r="L70" s="89" t="str">
        <f t="shared" si="39"/>
        <v>-0.191112400055933+0.397931540401547i</v>
      </c>
      <c r="M70" s="63">
        <f t="shared" si="17"/>
        <v>-160.02059991327963</v>
      </c>
      <c r="N70" s="63">
        <f t="shared" si="18"/>
        <v>-152.51029995663981</v>
      </c>
      <c r="O70" s="63" t="str">
        <f t="shared" si="40"/>
        <v>6.66707332960101E-12</v>
      </c>
      <c r="P70" s="63">
        <f t="shared" si="20"/>
        <v>-111.76064768143382</v>
      </c>
      <c r="Q70" s="63" t="str">
        <f t="shared" si="41"/>
        <v>6.45331234890856E-14</v>
      </c>
      <c r="R70" s="63">
        <f t="shared" si="42"/>
        <v>-131.90217313953076</v>
      </c>
      <c r="S70" s="63" t="str">
        <f t="shared" si="43"/>
        <v>1.88639880421336E-13+1.26217744835362E-29i</v>
      </c>
      <c r="T70" s="63">
        <f t="shared" si="21"/>
        <v>-127.24366487547812</v>
      </c>
      <c r="U70" s="63" t="str">
        <f t="shared" si="44"/>
        <v>1.34035692147991E-13+6.31088724176809E-30i</v>
      </c>
      <c r="V70" s="63">
        <f t="shared" si="23"/>
        <v>-128.72779538658466</v>
      </c>
      <c r="W70" s="63">
        <f t="shared" si="45"/>
        <v>102.64873945531943</v>
      </c>
      <c r="X70" s="63" t="str">
        <f t="shared" si="46"/>
        <v>2713.59050199627-1975.75427211776i</v>
      </c>
      <c r="Y70" s="90" t="str">
        <f t="shared" si="47"/>
        <v>2.7435692404946E-09-1.92477207474892E-09i</v>
      </c>
      <c r="Z70" s="90" t="str">
        <f t="shared" si="48"/>
        <v>2.71359050199627E-10-1.97575427211776E-10i</v>
      </c>
      <c r="AA70" s="90" t="str">
        <f t="shared" si="49"/>
        <v>1.3717846202473E-09-9.6238603737446E-10i</v>
      </c>
      <c r="AB70" s="90" t="str">
        <f t="shared" si="50"/>
        <v>4.21117625037002E-14</v>
      </c>
      <c r="AC70" s="90">
        <f t="shared" si="25"/>
        <v>-133.75596581671329</v>
      </c>
      <c r="AD70" s="90" t="str">
        <f t="shared" si="51"/>
        <v>1.77726708097748E-14-7.88860905221012E-31i</v>
      </c>
      <c r="AE70" s="63">
        <f t="shared" si="26"/>
        <v>-137.50247303157613</v>
      </c>
      <c r="AF70" s="63" t="str">
        <f t="shared" si="27"/>
        <v>6.49962917564455E-15</v>
      </c>
      <c r="AG70" s="63">
        <f t="shared" si="28"/>
        <v>-141.87111420521046</v>
      </c>
      <c r="AH70" s="116">
        <f t="shared" ref="AH70:AH87" si="56">AH69-(($AH$68-$AH$88)/20)</f>
        <v>-175</v>
      </c>
      <c r="AI70" s="63" t="str">
        <f t="shared" si="52"/>
        <v>3.19182246194916E-14</v>
      </c>
      <c r="AJ70" s="134">
        <f t="shared" si="31"/>
        <v>-134.9596127331759</v>
      </c>
      <c r="AK70" s="63">
        <f t="shared" si="53"/>
        <v>-111.45537014144287</v>
      </c>
      <c r="AL70" s="49">
        <f t="shared" si="54"/>
        <v>1.098723731520593E-7</v>
      </c>
    </row>
    <row r="71" spans="1:38" x14ac:dyDescent="0.25">
      <c r="A71" s="49"/>
      <c r="B71" s="49"/>
      <c r="C71" s="49"/>
      <c r="D71" s="49"/>
      <c r="E71" s="68">
        <v>141.25375446227577</v>
      </c>
      <c r="F71" s="61" t="str">
        <f t="shared" si="16"/>
        <v>887523.514621324i</v>
      </c>
      <c r="G71" s="83" t="str">
        <f t="shared" si="34"/>
        <v>2324.02094068466-2161.20908941972i</v>
      </c>
      <c r="H71" s="62" t="str">
        <f t="shared" si="35"/>
        <v>-1.6741316984824-1.80025021354212i</v>
      </c>
      <c r="I71" s="62" t="str">
        <f t="shared" si="36"/>
        <v>94.594144528035-38.9732627351673i</v>
      </c>
      <c r="J71" s="89" t="str">
        <f t="shared" si="37"/>
        <v>237741.015617509-97950.4927161799i</v>
      </c>
      <c r="K71" s="89" t="str">
        <f t="shared" si="38"/>
        <v>75.8751319069071+28.4126235121164i</v>
      </c>
      <c r="L71" s="89" t="str">
        <f t="shared" si="39"/>
        <v>-0.182426806600435+0.487165784189593i</v>
      </c>
      <c r="M71" s="63">
        <f t="shared" si="17"/>
        <v>-160.52059991327963</v>
      </c>
      <c r="N71" s="63">
        <f t="shared" si="18"/>
        <v>-152.51029995663981</v>
      </c>
      <c r="O71" s="63" t="str">
        <f t="shared" si="40"/>
        <v>6.80052032792987E-12</v>
      </c>
      <c r="P71" s="63">
        <f t="shared" si="20"/>
        <v>-111.67457856866783</v>
      </c>
      <c r="Q71" s="63" t="str">
        <f t="shared" si="41"/>
        <v>6.69213711098235E-14+3.15544362088405E-30i</v>
      </c>
      <c r="R71" s="63">
        <f t="shared" si="42"/>
        <v>-131.7443516963238</v>
      </c>
      <c r="S71" s="63" t="str">
        <f t="shared" si="43"/>
        <v>1.95621082031216E-13</v>
      </c>
      <c r="T71" s="63">
        <f t="shared" si="21"/>
        <v>-127.08584343227113</v>
      </c>
      <c r="U71" s="63" t="str">
        <f t="shared" si="44"/>
        <v>1.47634673133637E-13+6.31088724176809E-30i</v>
      </c>
      <c r="V71" s="63">
        <f t="shared" si="23"/>
        <v>-128.30811633148573</v>
      </c>
      <c r="W71" s="63">
        <f t="shared" si="45"/>
        <v>102.64873945531943</v>
      </c>
      <c r="X71" s="63" t="str">
        <f t="shared" si="46"/>
        <v>2709.69871678915-1807.33522314926i</v>
      </c>
      <c r="Y71" s="90" t="str">
        <f t="shared" si="47"/>
        <v>2.73977787858624E-09-1.76069889678085E-09i</v>
      </c>
      <c r="Z71" s="90" t="str">
        <f t="shared" si="48"/>
        <v>2.70969871678915E-10-1.80733522314926E-10i</v>
      </c>
      <c r="AA71" s="90" t="str">
        <f t="shared" si="49"/>
        <v>1.36988893929312E-09-8.80349448390425E-10i</v>
      </c>
      <c r="AB71" s="90" t="str">
        <f t="shared" si="50"/>
        <v>4.38632094403821E-14</v>
      </c>
      <c r="AC71" s="90">
        <f t="shared" si="25"/>
        <v>-133.57899594472141</v>
      </c>
      <c r="AD71" s="90" t="str">
        <f t="shared" si="51"/>
        <v>1.96039644895069E-14</v>
      </c>
      <c r="AE71" s="63">
        <f t="shared" si="26"/>
        <v>-137.07656092836882</v>
      </c>
      <c r="AF71" s="63" t="str">
        <f t="shared" si="27"/>
        <v>1.0682331059213E-14</v>
      </c>
      <c r="AG71" s="63">
        <f t="shared" si="28"/>
        <v>-139.71333966812355</v>
      </c>
      <c r="AH71" s="116">
        <f t="shared" si="56"/>
        <v>-175</v>
      </c>
      <c r="AI71" s="63" t="str">
        <f t="shared" si="52"/>
        <v>3.30994571383014E-14</v>
      </c>
      <c r="AJ71" s="134">
        <f t="shared" si="31"/>
        <v>-134.80179128996895</v>
      </c>
      <c r="AK71" s="63">
        <f t="shared" si="53"/>
        <v>-111.35610774840741</v>
      </c>
      <c r="AL71" s="49">
        <f t="shared" si="54"/>
        <v>1.2612893954332973E-7</v>
      </c>
    </row>
    <row r="72" spans="1:38" x14ac:dyDescent="0.25">
      <c r="A72" s="49"/>
      <c r="B72" s="49"/>
      <c r="C72" s="49"/>
      <c r="D72" s="49"/>
      <c r="E72" s="68">
        <v>158.48931924611176</v>
      </c>
      <c r="F72" s="61" t="str">
        <f t="shared" si="16"/>
        <v>995817.762032064i</v>
      </c>
      <c r="G72" s="83" t="str">
        <f t="shared" ref="G72:G103" si="57">IMDIV(IMDIV(IMPRODUCT(1/$C$25,IMDIV(1,F72),IMSUM(IMDIV(F72,$C$21),1)),(IMSUM(IMDIV(F72,$C$22),1))),IMSUM(IMDIV(IMPOWER(F72,2),POWER($C$23,2)),IMDIV(IMDIV(F72,$C$23),$C$24),1))</f>
        <v>2292.4327385049-2069.98778317443i</v>
      </c>
      <c r="H72" s="62" t="str">
        <f t="shared" ref="H72:H103" si="58">IMDIV(IMDIV(IMPRODUCT($C$19,$C$14,G72),F72),$C$20)</f>
        <v>-1.42909340964999-1.58266659605071i</v>
      </c>
      <c r="I72" s="62" t="str">
        <f t="shared" ref="I72:I103" si="59">IMDIV(IMDIV(IMPRODUCT($C$19,$C$14,G72),F72),IMSUM(1,H72))</f>
        <v>92.7661030005455-47.0864486061125i</v>
      </c>
      <c r="J72" s="89" t="str">
        <f t="shared" ref="J72:J103" si="60">IMDIV(IMDIV(IMPRODUCT(($C$14*2*PI()),G72),F72),IMSUM(1,H72))</f>
        <v>233146.646150933-118341.152819677i</v>
      </c>
      <c r="K72" s="89" t="str">
        <f t="shared" ref="K72:K103" si="61">IMDIV(IMDIV(($C$14*2*PI()),F72),IMSUM(1,H72))</f>
        <v>81.7012365771685+22.1508827336079i</v>
      </c>
      <c r="L72" s="89" t="str">
        <f t="shared" ref="L72:L103" si="62">IMDIV(1,IMSUM(1,H72))</f>
        <v>-0.159576287506817+0.588580607576408i</v>
      </c>
      <c r="M72" s="63">
        <f t="shared" si="17"/>
        <v>-161.02059991327963</v>
      </c>
      <c r="N72" s="63">
        <f t="shared" si="18"/>
        <v>-152.51029995663981</v>
      </c>
      <c r="O72" s="63" t="str">
        <f t="shared" ref="O72:O103" si="63">IMPRODUCT((POWER(10,M72/10)+POWER(10,N72/10)),I72,(IMCONJUGATE(I72)))</f>
        <v>6.92723356768938E-12</v>
      </c>
      <c r="P72" s="63">
        <f t="shared" si="20"/>
        <v>-111.59440168874127</v>
      </c>
      <c r="Q72" s="63" t="str">
        <f t="shared" ref="Q72:Q103" si="64">IMPRODUCT(POWER(SQRT($C$33/$C$38),2),J72,(IMCONJUGATE(J72)),0.5)</f>
        <v>6.91956698311687E-14-3.15544362088405E-30i</v>
      </c>
      <c r="R72" s="63">
        <f t="shared" ref="R72:R103" si="65">10*LOG(IMABS(Q72))</f>
        <v>-131.59921082237889</v>
      </c>
      <c r="S72" s="63" t="str">
        <f t="shared" ref="S72:S103" si="66">IMPRODUCT(POWER(SQRT($C$29*$C$13)*SQRT($C$33/$C$34),2)+POWER(SQRT($C$30+$C$29*$C$13)*SQRT($C$33/$C$34),2),J72,(IMCONJUGATE(J72)),0.5)</f>
        <v>2.02269194126852E-13+1.26217744835362E-29i</v>
      </c>
      <c r="T72" s="63">
        <f t="shared" si="21"/>
        <v>-126.94070255832621</v>
      </c>
      <c r="U72" s="63" t="str">
        <f t="shared" ref="U72:U103" si="67">IMPRODUCT(IMPRODUCT(SQRT($C$33*$C$39),IMDIV($C$40/($C$40+$C$41),IMSUM(IMPRODUCT(F72,$C$39,($C$40*$C$41)/($C$40+$C$41)),1))),IMCONJUGATE(IMPRODUCT(SQRT($C$33*$C$39),IMDIV($C$40/($C$40+$C$41),IMSUM(IMPRODUCT(F72,$C$39,($C$40*$C$41)/($C$40+$C$41)),1)))),K72,(IMCONJUGATE(K72)),0.5)</f>
        <v>1.60870920951121E-13+6.31088724176809E-30i</v>
      </c>
      <c r="V72" s="63">
        <f t="shared" si="23"/>
        <v>-127.9352245193451</v>
      </c>
      <c r="W72" s="63">
        <f t="shared" ref="W72:W103" si="68">$C$38*($C$34*($C$30+$C$29*$C$13)+$C$34*$C$29*$C$13)/($C$38+($C$34*($C$30+$C$29*$C$13)+$C$34*$C$29*$C$13))</f>
        <v>102.64873945531943</v>
      </c>
      <c r="X72" s="63" t="str">
        <f t="shared" ref="X72:X103" si="69">IMDIV(IMPRODUCT(IMDIV(1/($C$40+$C$41),F72),IMSUM(1,IMPRODUCT(F72,$C$39,$C$40))),IMSUM(IMPRODUCT(F72,$C$39,($C$40*$C$41)/($C$40+$C$41)),1))</f>
        <v>2704.81509375181-1662.72989995748i</v>
      </c>
      <c r="Y72" s="90" t="str">
        <f t="shared" ref="Y72:Y103" si="70">IMPRODUCT($C$31,IMSUM(1,IMDIV(X72,W72)))</f>
        <v>2.73502027214777E-09-1.61982495720878E-09i</v>
      </c>
      <c r="Z72" s="90" t="str">
        <f t="shared" ref="Z72:Z103" si="71">IMPRODUCT($C$32,X72)</f>
        <v>2.70481509375181E-10-1.66272989995748E-10i</v>
      </c>
      <c r="AA72" s="90" t="str">
        <f t="shared" ref="AA72:AA103" si="72">IMPRODUCT($C$32,$C$35,IMSUM(1,IMDIV(X72,W72)))</f>
        <v>1.36751013607389E-09-8.0991247860439E-10i</v>
      </c>
      <c r="AB72" s="90" t="str">
        <f t="shared" ref="AB72:AB103" si="73">IMPRODUCT(IMSUM(IMPRODUCT(Y72,IMCONJUGATE(Y72)),IMPRODUCT(Z72,IMCONJUGATE(Z72)),IMPRODUCT(AA72,IMCONJUGATE(AA72))),K72,IMCONJUGATE(K72),0.5)</f>
        <v>4.56136691914759E-14</v>
      </c>
      <c r="AC72" s="90">
        <f t="shared" si="25"/>
        <v>-133.40904991439879</v>
      </c>
      <c r="AD72" s="90" t="str">
        <f t="shared" ref="AD72:AD103" si="74">(IMPRODUCT(POWER(10,($C$17-20*LOG(E72*1000/$C$18))/10),L72,(IMCONJUGATE(L72))))</f>
        <v>2.14001349865337E-14</v>
      </c>
      <c r="AE72" s="63">
        <f t="shared" si="26"/>
        <v>-136.69583487224554</v>
      </c>
      <c r="AF72" s="63" t="str">
        <f t="shared" si="27"/>
        <v>1.75054877323292E-14+7.88860905221012E-31i</v>
      </c>
      <c r="AG72" s="63">
        <f t="shared" si="28"/>
        <v>-137.56825784555713</v>
      </c>
      <c r="AH72" s="116">
        <f t="shared" si="56"/>
        <v>-175</v>
      </c>
      <c r="AI72" s="63" t="str">
        <f t="shared" ref="AI72:AI103" si="75">IMPRODUCT(POWER(10,AH72/10),I72,(IMCONJUGATE(I72)))</f>
        <v>3.42243302811923E-14-1.57772181044202E-30i</v>
      </c>
      <c r="AJ72" s="134">
        <f t="shared" si="31"/>
        <v>-134.65665041602398</v>
      </c>
      <c r="AK72" s="63">
        <f t="shared" ref="AK72:AK103" si="76">10*LOG(IMABS(IMSUM(O72,Q72,S72,U72,AB72,AD72,AF72,AI72)))</f>
        <v>-111.26196363148102</v>
      </c>
      <c r="AL72" s="49">
        <f t="shared" ref="AL72:AL103" si="77">10^((AK72+(10*LOG((E73-E72)*1000)))/10)</f>
        <v>1.4462026600577025E-7</v>
      </c>
    </row>
    <row r="73" spans="1:38" x14ac:dyDescent="0.25">
      <c r="A73" s="49"/>
      <c r="B73" s="49"/>
      <c r="C73" s="49"/>
      <c r="D73" s="49"/>
      <c r="E73" s="68">
        <v>177.82794100389276</v>
      </c>
      <c r="F73" s="61" t="str">
        <f t="shared" ref="F73:F128" si="78">COMPLEX(0,2*PI()*E73*1000)</f>
        <v>1117325.90612166i</v>
      </c>
      <c r="G73" s="83" t="str">
        <f t="shared" si="57"/>
        <v>2253.29093584679-2003.1798683825i</v>
      </c>
      <c r="H73" s="62" t="str">
        <f t="shared" si="58"/>
        <v>-1.23257337180456-1.38646880906204i</v>
      </c>
      <c r="I73" s="62" t="str">
        <f t="shared" si="59"/>
        <v>89.4140863696811-56.1213737243636i</v>
      </c>
      <c r="J73" s="89" t="str">
        <f t="shared" si="60"/>
        <v>224722.109493148-141048.396321463i</v>
      </c>
      <c r="K73" s="89" t="str">
        <f t="shared" si="61"/>
        <v>86.7882610970683+14.5583069626029i</v>
      </c>
      <c r="L73" s="89" t="str">
        <f t="shared" si="62"/>
        <v>-0.117676079621015+0.701517171554544i</v>
      </c>
      <c r="M73" s="63">
        <f t="shared" ref="M73:M128" si="79">$C$27+20*LOG($C$11*1000000)-10*LOG(E73*1000)-20*LOG($C$11*1000000/$C$13)</f>
        <v>-161.52059991327963</v>
      </c>
      <c r="N73" s="63">
        <f t="shared" ref="N73:N128" si="80">$C$26+(10*LOG10($C$13))</f>
        <v>-152.51029995663981</v>
      </c>
      <c r="O73" s="63" t="str">
        <f t="shared" si="63"/>
        <v>7.03739610887997E-12</v>
      </c>
      <c r="P73" s="63">
        <f t="shared" ref="P73:P128" si="81">10*LOG(IMABS(O73))</f>
        <v>-111.52588003461831</v>
      </c>
      <c r="Q73" s="63" t="str">
        <f t="shared" si="64"/>
        <v>7.12531482657594E-14+6.31088724176809E-30i</v>
      </c>
      <c r="R73" s="63">
        <f t="shared" si="65"/>
        <v>-131.47195941926606</v>
      </c>
      <c r="S73" s="63" t="str">
        <f t="shared" si="66"/>
        <v>2.0828350840278E-13</v>
      </c>
      <c r="T73" s="63">
        <f t="shared" ref="T73:T128" si="82">10*LOG(IMABS(S73))</f>
        <v>-126.81345115521337</v>
      </c>
      <c r="U73" s="63" t="str">
        <f t="shared" si="67"/>
        <v>1.73462247786972E-13+3.15544362088405E-30i</v>
      </c>
      <c r="V73" s="63">
        <f t="shared" ref="V73:V128" si="83">10*LOG(IMABS(U73))</f>
        <v>-127.60795030163193</v>
      </c>
      <c r="W73" s="63">
        <f t="shared" si="68"/>
        <v>102.64873945531943</v>
      </c>
      <c r="X73" s="63" t="str">
        <f t="shared" si="69"/>
        <v>2698.69195019318-1539.95126606139i</v>
      </c>
      <c r="Y73" s="90" t="str">
        <f t="shared" si="70"/>
        <v>2.72905512967147E-09-1.50021449287421E-09i</v>
      </c>
      <c r="Z73" s="90" t="str">
        <f t="shared" si="71"/>
        <v>2.69869195019318E-10-1.53995126606139E-10i</v>
      </c>
      <c r="AA73" s="90" t="str">
        <f t="shared" si="72"/>
        <v>1.36452756483574E-09-7.50107246437105E-10i</v>
      </c>
      <c r="AB73" s="90" t="str">
        <f t="shared" si="73"/>
        <v>4.7314898850651E-14-1.57772181044202E-30i</v>
      </c>
      <c r="AC73" s="90">
        <f t="shared" ref="AC73:AC128" si="84">10*LOG(IMABS(AB73))</f>
        <v>-133.25002084002551</v>
      </c>
      <c r="AD73" s="90" t="str">
        <f t="shared" si="74"/>
        <v>2.31274740429637E-14</v>
      </c>
      <c r="AE73" s="63">
        <f t="shared" ref="AE73:AE128" si="85">10*LOG(IMABS(AD73))</f>
        <v>-136.35871797800382</v>
      </c>
      <c r="AF73" s="63" t="str">
        <f t="shared" ref="AF73:AF128" si="86">IF($C$28="0",1E-30,IMSUM(IMPRODUCT(POWER(2*PI(),2)/(12*$C$13*POWER($C$20,2))*POWER((2*SIN(PI()*(E73*1000)/$C$13)),(2*($C$28-1))),I73,(IMCONJUGATE(I73))),1E-30))</f>
        <v>2.85687949279842E-14-1.57772181044202E-30i</v>
      </c>
      <c r="AG73" s="63">
        <f t="shared" ref="AG73:AG128" si="87">10*LOG(IMABS(AF73))</f>
        <v>-135.44108078383954</v>
      </c>
      <c r="AH73" s="116">
        <f t="shared" si="56"/>
        <v>-175</v>
      </c>
      <c r="AI73" s="63" t="str">
        <f t="shared" si="75"/>
        <v>3.52419636340252E-14</v>
      </c>
      <c r="AJ73" s="134">
        <f t="shared" ref="AJ73:AJ128" si="88">10*LOG(IMABS(AI73))</f>
        <v>-134.52939901291123</v>
      </c>
      <c r="AK73" s="63">
        <f t="shared" si="76"/>
        <v>-111.17780192938741</v>
      </c>
      <c r="AL73" s="49">
        <f t="shared" si="77"/>
        <v>1.6544183035255867E-7</v>
      </c>
    </row>
    <row r="74" spans="1:38" x14ac:dyDescent="0.25">
      <c r="A74" s="49"/>
      <c r="B74" s="49"/>
      <c r="C74" s="49"/>
      <c r="D74" s="49"/>
      <c r="E74" s="68">
        <v>199.52623149688853</v>
      </c>
      <c r="F74" s="61" t="str">
        <f t="shared" si="78"/>
        <v>1253660.28613816i</v>
      </c>
      <c r="G74" s="83" t="str">
        <f t="shared" si="57"/>
        <v>2204.98239625093-1958.74413285626i</v>
      </c>
      <c r="H74" s="62" t="str">
        <f t="shared" si="58"/>
        <v>-1.07416387535648-1.20919950498891i</v>
      </c>
      <c r="I74" s="62" t="str">
        <f t="shared" si="59"/>
        <v>84.0425541181091-65.9115292318892i</v>
      </c>
      <c r="J74" s="89" t="str">
        <f t="shared" si="60"/>
        <v>211221.9764851-165653.740817418i</v>
      </c>
      <c r="K74" s="89" t="str">
        <f t="shared" si="61"/>
        <v>90.8435467496528+5.57171041692049i</v>
      </c>
      <c r="L74" s="89" t="str">
        <f t="shared" si="62"/>
        <v>-0.0505319264763681+0.823894115398617i</v>
      </c>
      <c r="M74" s="63">
        <f t="shared" si="79"/>
        <v>-162.02059991327963</v>
      </c>
      <c r="N74" s="63">
        <f t="shared" si="80"/>
        <v>-152.51029995663981</v>
      </c>
      <c r="O74" s="63" t="str">
        <f t="shared" si="63"/>
        <v>7.11605926131932E-12-4.03896783473158E-28i</v>
      </c>
      <c r="P74" s="63">
        <f t="shared" si="81"/>
        <v>-111.47760443843198</v>
      </c>
      <c r="Q74" s="63" t="str">
        <f t="shared" si="64"/>
        <v>7.29346155043579E-14</v>
      </c>
      <c r="R74" s="63">
        <f t="shared" si="65"/>
        <v>-131.37066302210377</v>
      </c>
      <c r="S74" s="63" t="str">
        <f t="shared" si="66"/>
        <v>2.13198686247461E-13+1.26217744835362E-29i</v>
      </c>
      <c r="T74" s="63">
        <f t="shared" si="82"/>
        <v>-126.7121547580511</v>
      </c>
      <c r="U74" s="63" t="str">
        <f t="shared" si="67"/>
        <v>1.85018114914678E-13</v>
      </c>
      <c r="V74" s="63">
        <f t="shared" si="83"/>
        <v>-127.32785748232999</v>
      </c>
      <c r="W74" s="63">
        <f t="shared" si="68"/>
        <v>102.64873945531943</v>
      </c>
      <c r="X74" s="63" t="str">
        <f t="shared" si="69"/>
        <v>2691.02267683135-1437.27476979235i</v>
      </c>
      <c r="Y74" s="90" t="str">
        <f t="shared" si="70"/>
        <v>2.72158375359562E-09-1.40018745229498E-09i</v>
      </c>
      <c r="Z74" s="90" t="str">
        <f t="shared" si="71"/>
        <v>2.69102267683135E-10-1.43727476979235E-10i</v>
      </c>
      <c r="AA74" s="90" t="str">
        <f t="shared" si="72"/>
        <v>1.36079187679781E-09-7.0009372614749E-10i</v>
      </c>
      <c r="AB74" s="90" t="str">
        <f t="shared" si="73"/>
        <v>4.888356871673E-14</v>
      </c>
      <c r="AC74" s="90">
        <f t="shared" si="84"/>
        <v>-133.1083709619005</v>
      </c>
      <c r="AD74" s="90" t="str">
        <f t="shared" si="74"/>
        <v>2.47385044007443E-14+1.97215226305253E-31i</v>
      </c>
      <c r="AE74" s="63">
        <f t="shared" si="85"/>
        <v>-136.06626559765007</v>
      </c>
      <c r="AF74" s="63" t="str">
        <f t="shared" si="86"/>
        <v>4.6345994129658E-14</v>
      </c>
      <c r="AG74" s="63">
        <f t="shared" si="87"/>
        <v>-133.33987797712976</v>
      </c>
      <c r="AH74" s="116">
        <f t="shared" si="56"/>
        <v>-175</v>
      </c>
      <c r="AI74" s="63" t="str">
        <f t="shared" si="75"/>
        <v>3.60736210234431E-14</v>
      </c>
      <c r="AJ74" s="134">
        <f t="shared" si="88"/>
        <v>-134.42810261574894</v>
      </c>
      <c r="AK74" s="63">
        <f t="shared" si="76"/>
        <v>-111.11076586082393</v>
      </c>
      <c r="AL74" s="49">
        <f t="shared" si="77"/>
        <v>1.8851631119225224E-7</v>
      </c>
    </row>
    <row r="75" spans="1:38" x14ac:dyDescent="0.25">
      <c r="A75" s="49"/>
      <c r="B75" s="49"/>
      <c r="C75" s="49"/>
      <c r="D75" s="49"/>
      <c r="E75" s="68">
        <v>223.8721138568346</v>
      </c>
      <c r="F75" s="61" t="str">
        <f t="shared" si="78"/>
        <v>1406629.9764725i</v>
      </c>
      <c r="G75" s="83" t="str">
        <f t="shared" si="57"/>
        <v>2145.65529501-1934.53535728872i</v>
      </c>
      <c r="H75" s="62" t="str">
        <f t="shared" si="58"/>
        <v>-0.945517357358836-1.04870366762599i</v>
      </c>
      <c r="I75" s="62" t="str">
        <f t="shared" si="59"/>
        <v>76.0474991243533-76.0793156067303i</v>
      </c>
      <c r="J75" s="89" t="str">
        <f t="shared" si="60"/>
        <v>191128.211658355-191208.175200194i</v>
      </c>
      <c r="K75" s="89" t="str">
        <f t="shared" si="61"/>
        <v>93.4543004549027-4.85517254506286i</v>
      </c>
      <c r="L75" s="89" t="str">
        <f t="shared" si="62"/>
        <v>0.049406260945586+0.950991445084128i</v>
      </c>
      <c r="M75" s="63">
        <f t="shared" si="79"/>
        <v>-162.52059991327963</v>
      </c>
      <c r="N75" s="63">
        <f t="shared" si="80"/>
        <v>-152.51029995663981</v>
      </c>
      <c r="O75" s="63" t="str">
        <f t="shared" si="63"/>
        <v>7.13921928457573E-12</v>
      </c>
      <c r="P75" s="63">
        <f t="shared" si="81"/>
        <v>-111.46349278271325</v>
      </c>
      <c r="Q75" s="63" t="str">
        <f t="shared" si="64"/>
        <v>7.39819078423665E-14+6.31088724176809E-30i</v>
      </c>
      <c r="R75" s="63">
        <f t="shared" si="65"/>
        <v>-131.30874473308157</v>
      </c>
      <c r="S75" s="63" t="str">
        <f t="shared" si="66"/>
        <v>2.1626007690588E-13</v>
      </c>
      <c r="T75" s="63">
        <f t="shared" si="82"/>
        <v>-126.65023646902888</v>
      </c>
      <c r="U75" s="63" t="str">
        <f t="shared" si="67"/>
        <v>1.94900809559048E-13-1.57772181044202E-30i</v>
      </c>
      <c r="V75" s="63">
        <f t="shared" si="83"/>
        <v>-127.10186356950632</v>
      </c>
      <c r="W75" s="63">
        <f t="shared" si="68"/>
        <v>102.64873945531943</v>
      </c>
      <c r="X75" s="63" t="str">
        <f t="shared" si="69"/>
        <v>2681.42939352612-1353.20501654166i</v>
      </c>
      <c r="Y75" s="90" t="str">
        <f t="shared" si="70"/>
        <v>2.71223801456742E-09-1.31828702789933E-09i</v>
      </c>
      <c r="Z75" s="90" t="str">
        <f t="shared" si="71"/>
        <v>2.68142939352612E-10-1.35320501654166E-10i</v>
      </c>
      <c r="AA75" s="90" t="str">
        <f t="shared" si="72"/>
        <v>1.35611900728371E-09-6.59143513949665E-10i</v>
      </c>
      <c r="AB75" s="90" t="str">
        <f t="shared" si="73"/>
        <v>5.01698248493261E-14</v>
      </c>
      <c r="AC75" s="90">
        <f t="shared" si="84"/>
        <v>-132.9955741515929</v>
      </c>
      <c r="AD75" s="90" t="str">
        <f t="shared" si="74"/>
        <v>2.61531390753622E-14</v>
      </c>
      <c r="AE75" s="63">
        <f t="shared" si="85"/>
        <v>-135.82476176728272</v>
      </c>
      <c r="AF75" s="63" t="str">
        <f t="shared" si="86"/>
        <v>7.45061716842353E-14</v>
      </c>
      <c r="AG75" s="63">
        <f t="shared" si="87"/>
        <v>-131.27807751179324</v>
      </c>
      <c r="AH75" s="116">
        <f t="shared" si="56"/>
        <v>-175</v>
      </c>
      <c r="AI75" s="63" t="str">
        <f t="shared" si="75"/>
        <v>3.65916141141155E-14</v>
      </c>
      <c r="AJ75" s="134">
        <f t="shared" si="88"/>
        <v>-134.36618432672668</v>
      </c>
      <c r="AK75" s="63">
        <f t="shared" si="76"/>
        <v>-111.07249838815957</v>
      </c>
      <c r="AL75" s="49">
        <f t="shared" si="77"/>
        <v>2.1339079447695351E-7</v>
      </c>
    </row>
    <row r="76" spans="1:38" x14ac:dyDescent="0.25">
      <c r="A76" s="49"/>
      <c r="B76" s="49"/>
      <c r="C76" s="49"/>
      <c r="D76" s="49"/>
      <c r="E76" s="68">
        <v>251.1886431509588</v>
      </c>
      <c r="F76" s="61" t="str">
        <f t="shared" si="78"/>
        <v>1578264.79197648i</v>
      </c>
      <c r="G76" s="83" t="str">
        <f t="shared" si="57"/>
        <v>2073.24283767798-1928.16197849563i</v>
      </c>
      <c r="H76" s="62" t="str">
        <f t="shared" si="58"/>
        <v>-0.839916956238801-0.903114900712335i</v>
      </c>
      <c r="I76" s="62" t="str">
        <f t="shared" si="59"/>
        <v>64.7765248499532-85.8838445696992i</v>
      </c>
      <c r="J76" s="89" t="str">
        <f t="shared" si="60"/>
        <v>162801.163674952-215849.644129771i</v>
      </c>
      <c r="K76" s="89" t="str">
        <f t="shared" si="61"/>
        <v>94.0251794842228-16.6665801994356i</v>
      </c>
      <c r="L76" s="89" t="str">
        <f t="shared" si="62"/>
        <v>0.190293439375584+1.07354805712124i</v>
      </c>
      <c r="M76" s="63">
        <f t="shared" si="79"/>
        <v>-163.02059991327963</v>
      </c>
      <c r="N76" s="63">
        <f t="shared" si="80"/>
        <v>-152.51029995663981</v>
      </c>
      <c r="O76" s="63" t="str">
        <f t="shared" si="63"/>
        <v>7.06924828076734E-12</v>
      </c>
      <c r="P76" s="63">
        <f t="shared" si="81"/>
        <v>-111.50626765109999</v>
      </c>
      <c r="Q76" s="63" t="str">
        <f t="shared" si="64"/>
        <v>7.39866937132193E-14+6.31088724176809E-30i</v>
      </c>
      <c r="R76" s="63">
        <f t="shared" si="65"/>
        <v>-131.3084637981695</v>
      </c>
      <c r="S76" s="63" t="str">
        <f t="shared" si="66"/>
        <v>2.16274066715401E-13+1.26217744835362E-29i</v>
      </c>
      <c r="T76" s="63">
        <f t="shared" si="82"/>
        <v>-126.64995553411683</v>
      </c>
      <c r="U76" s="63" t="str">
        <f t="shared" si="67"/>
        <v>2.02033581361768E-13</v>
      </c>
      <c r="V76" s="63">
        <f t="shared" si="83"/>
        <v>-126.94576437543601</v>
      </c>
      <c r="W76" s="63">
        <f t="shared" si="68"/>
        <v>102.64873945531943</v>
      </c>
      <c r="X76" s="63" t="str">
        <f t="shared" si="69"/>
        <v>2669.44898745407-1286.4417312765i</v>
      </c>
      <c r="Y76" s="90" t="str">
        <f t="shared" si="70"/>
        <v>2.70056674988787E-09-1.25324649684223E-09i</v>
      </c>
      <c r="Z76" s="90" t="str">
        <f t="shared" si="71"/>
        <v>2.66944898745407E-10-1.2864417312765E-10i</v>
      </c>
      <c r="AA76" s="90" t="str">
        <f t="shared" si="72"/>
        <v>1.35028337494393E-09-6.26623248421115E-10i</v>
      </c>
      <c r="AB76" s="90" t="str">
        <f t="shared" si="73"/>
        <v>5.09151038548485E-14</v>
      </c>
      <c r="AC76" s="90">
        <f t="shared" si="84"/>
        <v>-132.93153366036793</v>
      </c>
      <c r="AD76" s="90" t="str">
        <f t="shared" si="74"/>
        <v>2.72319337861758E-14</v>
      </c>
      <c r="AE76" s="63">
        <f t="shared" si="85"/>
        <v>-135.64921517571324</v>
      </c>
      <c r="AF76" s="63" t="str">
        <f t="shared" si="86"/>
        <v>1.18087929824882E-13</v>
      </c>
      <c r="AG76" s="63">
        <f t="shared" si="87"/>
        <v>-129.27794490856783</v>
      </c>
      <c r="AH76" s="116">
        <f t="shared" si="56"/>
        <v>-175</v>
      </c>
      <c r="AI76" s="63" t="str">
        <f t="shared" si="75"/>
        <v>3.6593981216351E-14+3.15544362088405E-30i</v>
      </c>
      <c r="AJ76" s="134">
        <f t="shared" si="88"/>
        <v>-134.36590339181461</v>
      </c>
      <c r="AK76" s="63">
        <f t="shared" si="76"/>
        <v>-111.08218894477037</v>
      </c>
      <c r="AL76" s="49">
        <f t="shared" si="77"/>
        <v>2.3889476043739617E-7</v>
      </c>
    </row>
    <row r="77" spans="1:38" x14ac:dyDescent="0.25">
      <c r="A77" s="49"/>
      <c r="B77" s="49"/>
      <c r="C77" s="49"/>
      <c r="D77" s="49"/>
      <c r="E77" s="68">
        <v>281.83829312644627</v>
      </c>
      <c r="F77" s="61" t="str">
        <f t="shared" si="78"/>
        <v>1770842.22237266i</v>
      </c>
      <c r="G77" s="83" t="str">
        <f t="shared" si="57"/>
        <v>1985.52697540676-1936.82572149801i</v>
      </c>
      <c r="H77" s="62" t="str">
        <f t="shared" si="58"/>
        <v>-0.751940329130954-0.77084777985652i</v>
      </c>
      <c r="I77" s="62" t="str">
        <f t="shared" si="59"/>
        <v>49.7368214609535-94.0431143301032i</v>
      </c>
      <c r="J77" s="89" t="str">
        <f t="shared" si="60"/>
        <v>125002.266331712-236356.125680125i</v>
      </c>
      <c r="K77" s="89" t="str">
        <f t="shared" si="61"/>
        <v>91.7613293562473-29.5288976026546i</v>
      </c>
      <c r="L77" s="89" t="str">
        <f t="shared" si="62"/>
        <v>0.378289731738081+1.17553892912629i</v>
      </c>
      <c r="M77" s="63">
        <f t="shared" si="79"/>
        <v>-163.52059991327963</v>
      </c>
      <c r="N77" s="63">
        <f t="shared" si="80"/>
        <v>-152.51029995663981</v>
      </c>
      <c r="O77" s="63" t="str">
        <f t="shared" si="63"/>
        <v>6.85258107709427E-12</v>
      </c>
      <c r="P77" s="63">
        <f t="shared" si="81"/>
        <v>-111.64145817353389</v>
      </c>
      <c r="Q77" s="63" t="str">
        <f t="shared" si="64"/>
        <v>7.2361611377688E-14</v>
      </c>
      <c r="R77" s="63">
        <f t="shared" si="65"/>
        <v>-131.40491770659014</v>
      </c>
      <c r="S77" s="63" t="str">
        <f t="shared" si="66"/>
        <v>2.11523710295705E-13-1.26217744835362E-29i</v>
      </c>
      <c r="T77" s="63">
        <f t="shared" si="82"/>
        <v>-126.74640944253746</v>
      </c>
      <c r="U77" s="63" t="str">
        <f t="shared" si="67"/>
        <v>2.04728123374796E-13</v>
      </c>
      <c r="V77" s="63">
        <f t="shared" si="83"/>
        <v>-126.88822494476992</v>
      </c>
      <c r="W77" s="63">
        <f t="shared" si="68"/>
        <v>102.64873945531943</v>
      </c>
      <c r="X77" s="63" t="str">
        <f t="shared" si="69"/>
        <v>2654.51792079174-1235.84341352022i</v>
      </c>
      <c r="Y77" s="90" t="str">
        <f t="shared" si="70"/>
        <v>2.6860209632162E-09-1.2039538138295E-09i</v>
      </c>
      <c r="Z77" s="90" t="str">
        <f t="shared" si="71"/>
        <v>2.65451792079174E-10-1.23584341352022E-10i</v>
      </c>
      <c r="AA77" s="90" t="str">
        <f t="shared" si="72"/>
        <v>1.3430104816081E-09-6.0197690691475E-10i</v>
      </c>
      <c r="AB77" s="90" t="str">
        <f t="shared" si="73"/>
        <v>5.07162882648251E-14-3.15544362088405E-30i</v>
      </c>
      <c r="AC77" s="90">
        <f t="shared" si="84"/>
        <v>-132.94852538349724</v>
      </c>
      <c r="AD77" s="90" t="str">
        <f t="shared" si="74"/>
        <v>2.77503451986164E-14</v>
      </c>
      <c r="AE77" s="63">
        <f t="shared" si="85"/>
        <v>-135.56731610129708</v>
      </c>
      <c r="AF77" s="63" t="str">
        <f t="shared" si="86"/>
        <v>1.83038076975442E-13</v>
      </c>
      <c r="AG77" s="63">
        <f t="shared" si="87"/>
        <v>-127.37458555623854</v>
      </c>
      <c r="AH77" s="116">
        <f t="shared" si="56"/>
        <v>-175</v>
      </c>
      <c r="AI77" s="63" t="str">
        <f t="shared" si="75"/>
        <v>3.57902119238352E-14+3.15544362088405E-30i</v>
      </c>
      <c r="AJ77" s="134">
        <f t="shared" si="88"/>
        <v>-134.46235730023528</v>
      </c>
      <c r="AK77" s="63">
        <f t="shared" si="76"/>
        <v>-111.16992517180618</v>
      </c>
      <c r="AL77" s="49">
        <f t="shared" si="77"/>
        <v>2.6268362567536138E-7</v>
      </c>
    </row>
    <row r="78" spans="1:38" x14ac:dyDescent="0.25">
      <c r="A78" s="49"/>
      <c r="B78" s="49"/>
      <c r="C78" s="49"/>
      <c r="D78" s="49"/>
      <c r="E78" s="68">
        <v>316.22776601683893</v>
      </c>
      <c r="F78" s="61" t="str">
        <f t="shared" si="78"/>
        <v>1986917.65315923i</v>
      </c>
      <c r="G78" s="83" t="str">
        <f t="shared" si="57"/>
        <v>1880.25991395428-1957.15204624749i</v>
      </c>
      <c r="H78" s="62" t="str">
        <f t="shared" si="58"/>
        <v>-0.677200703137202-0.65059500014416i</v>
      </c>
      <c r="I78" s="62" t="str">
        <f t="shared" si="59"/>
        <v>31.042172801187-98.6734416804127i</v>
      </c>
      <c r="J78" s="89" t="str">
        <f t="shared" si="60"/>
        <v>78017.4896189392-247993.407590084i</v>
      </c>
      <c r="K78" s="89" t="str">
        <f t="shared" si="61"/>
        <v>85.809025576421-42.5750168913271i</v>
      </c>
      <c r="L78" s="89" t="str">
        <f t="shared" si="62"/>
        <v>0.611972839985162+1.23341802100516i</v>
      </c>
      <c r="M78" s="63">
        <f t="shared" si="79"/>
        <v>-164.02059991327963</v>
      </c>
      <c r="N78" s="63">
        <f t="shared" si="80"/>
        <v>-152.51029995663981</v>
      </c>
      <c r="O78" s="63" t="str">
        <f t="shared" si="63"/>
        <v>6.42679645145406E-12</v>
      </c>
      <c r="P78" s="63">
        <f t="shared" si="81"/>
        <v>-111.92005454782331</v>
      </c>
      <c r="Q78" s="63" t="str">
        <f t="shared" si="64"/>
        <v>6.84116961981753E-14</v>
      </c>
      <c r="R78" s="63">
        <f t="shared" si="65"/>
        <v>-131.64869641553591</v>
      </c>
      <c r="S78" s="63" t="str">
        <f t="shared" si="66"/>
        <v>1.9997752305337E-13</v>
      </c>
      <c r="T78" s="63">
        <f t="shared" si="82"/>
        <v>-126.99018815148322</v>
      </c>
      <c r="U78" s="63" t="str">
        <f t="shared" si="67"/>
        <v>2.00752650295533E-13-1.26217744835362E-29i</v>
      </c>
      <c r="V78" s="63">
        <f t="shared" si="83"/>
        <v>-126.97338712544287</v>
      </c>
      <c r="W78" s="63">
        <f t="shared" si="68"/>
        <v>102.64873945531943</v>
      </c>
      <c r="X78" s="63" t="str">
        <f t="shared" si="69"/>
        <v>2635.95665995504-1200.38685729242i</v>
      </c>
      <c r="Y78" s="90" t="str">
        <f t="shared" si="70"/>
        <v>2.66793865559587E-09-1.16941217560194E-09i</v>
      </c>
      <c r="Z78" s="90" t="str">
        <f t="shared" si="71"/>
        <v>2.63595665995504E-10-1.20038685729242E-10i</v>
      </c>
      <c r="AA78" s="90" t="str">
        <f t="shared" si="72"/>
        <v>1.33396932779793E-09-5.8470608780097E-10i</v>
      </c>
      <c r="AB78" s="90" t="str">
        <f t="shared" si="73"/>
        <v>4.90478314881901E-14</v>
      </c>
      <c r="AC78" s="90">
        <f t="shared" si="84"/>
        <v>-133.09380188967654</v>
      </c>
      <c r="AD78" s="90" t="str">
        <f t="shared" si="74"/>
        <v>2.74030919561407E-14</v>
      </c>
      <c r="AE78" s="63">
        <f t="shared" si="85"/>
        <v>-135.62200431933971</v>
      </c>
      <c r="AF78" s="63" t="str">
        <f t="shared" si="86"/>
        <v>2.74245849945275E-13-1.26217744835362E-29i</v>
      </c>
      <c r="AG78" s="63">
        <f t="shared" si="87"/>
        <v>-125.61859935711333</v>
      </c>
      <c r="AH78" s="116">
        <f t="shared" si="56"/>
        <v>-175</v>
      </c>
      <c r="AI78" s="63" t="str">
        <f t="shared" si="75"/>
        <v>3.38365752003788E-14</v>
      </c>
      <c r="AJ78" s="134">
        <f t="shared" si="88"/>
        <v>-134.70613600918102</v>
      </c>
      <c r="AK78" s="63">
        <f t="shared" si="76"/>
        <v>-111.37840483754943</v>
      </c>
      <c r="AL78" s="49">
        <f t="shared" si="77"/>
        <v>2.8092153668297507E-7</v>
      </c>
    </row>
    <row r="79" spans="1:38" x14ac:dyDescent="0.25">
      <c r="A79" s="49"/>
      <c r="B79" s="49"/>
      <c r="C79" s="49"/>
      <c r="D79" s="49"/>
      <c r="E79" s="68">
        <v>354.81338923357669</v>
      </c>
      <c r="F79" s="61" t="str">
        <f t="shared" si="78"/>
        <v>2229358.274023i</v>
      </c>
      <c r="G79" s="83" t="str">
        <f t="shared" si="57"/>
        <v>1755.3622826281-1985.03060246048i</v>
      </c>
      <c r="H79" s="62" t="str">
        <f t="shared" si="58"/>
        <v>-0.61215308238854-0.541326884677473i</v>
      </c>
      <c r="I79" s="62" t="str">
        <f t="shared" si="59"/>
        <v>10.0325813386952-97.655139316568i</v>
      </c>
      <c r="J79" s="89" t="str">
        <f t="shared" si="60"/>
        <v>25214.6270641488-245434.134609774i</v>
      </c>
      <c r="K79" s="89" t="str">
        <f t="shared" si="61"/>
        <v>75.6881338950184-54.2286190874051i</v>
      </c>
      <c r="L79" s="89" t="str">
        <f t="shared" si="62"/>
        <v>0.87459273326631+1.2206892414571i</v>
      </c>
      <c r="M79" s="63">
        <f t="shared" si="79"/>
        <v>-164.52059991327963</v>
      </c>
      <c r="N79" s="63">
        <f t="shared" si="80"/>
        <v>-152.51029995663981</v>
      </c>
      <c r="O79" s="63" t="str">
        <f t="shared" si="63"/>
        <v>5.74686822598513E-12-1.0097419586829E-28i</v>
      </c>
      <c r="P79" s="63">
        <f t="shared" si="81"/>
        <v>-112.40568760998133</v>
      </c>
      <c r="Q79" s="63" t="str">
        <f t="shared" si="64"/>
        <v>6.161605394536E-14-7.88860905221012E-31i</v>
      </c>
      <c r="R79" s="63">
        <f t="shared" si="65"/>
        <v>-132.10306118492801</v>
      </c>
      <c r="S79" s="63" t="str">
        <f t="shared" si="66"/>
        <v>1.80112853986575E-13</v>
      </c>
      <c r="T79" s="63">
        <f t="shared" si="82"/>
        <v>-127.44455292087535</v>
      </c>
      <c r="U79" s="63" t="str">
        <f t="shared" si="67"/>
        <v>1.8801865958919E-13</v>
      </c>
      <c r="V79" s="63">
        <f t="shared" si="83"/>
        <v>-127.25799047786934</v>
      </c>
      <c r="W79" s="63">
        <f t="shared" si="68"/>
        <v>102.64873945531943</v>
      </c>
      <c r="X79" s="63" t="str">
        <f t="shared" si="69"/>
        <v>2612.95528540298-1179.12054257768i</v>
      </c>
      <c r="Y79" s="90" t="str">
        <f t="shared" si="70"/>
        <v>2.64553080658174E-09-1.14869461508675E-09i</v>
      </c>
      <c r="Z79" s="90" t="str">
        <f t="shared" si="71"/>
        <v>2.61295528540298E-10-1.17912054257768E-10i</v>
      </c>
      <c r="AA79" s="90" t="str">
        <f t="shared" si="72"/>
        <v>1.32276540329087E-09-5.74347307543375E-10i</v>
      </c>
      <c r="AB79" s="90" t="str">
        <f t="shared" si="73"/>
        <v>4.5428257349478E-14</v>
      </c>
      <c r="AC79" s="90">
        <f t="shared" si="84"/>
        <v>-133.42673922617939</v>
      </c>
      <c r="AD79" s="90" t="str">
        <f t="shared" si="74"/>
        <v>2.58908030059561E-14</v>
      </c>
      <c r="AE79" s="63">
        <f t="shared" si="85"/>
        <v>-135.86854479667582</v>
      </c>
      <c r="AF79" s="63" t="str">
        <f t="shared" si="86"/>
        <v>3.91447921001417E-13+6.31088724176809E-30i</v>
      </c>
      <c r="AG79" s="63">
        <f t="shared" si="87"/>
        <v>-124.07326009151853</v>
      </c>
      <c r="AH79" s="116">
        <f t="shared" si="56"/>
        <v>-175</v>
      </c>
      <c r="AI79" s="63" t="str">
        <f t="shared" si="75"/>
        <v>3.04754356160574E-14+3.94430452610506E-31i</v>
      </c>
      <c r="AJ79" s="134">
        <f t="shared" si="88"/>
        <v>-135.16050077857312</v>
      </c>
      <c r="AK79" s="63">
        <f t="shared" si="76"/>
        <v>-111.75883398326482</v>
      </c>
      <c r="AL79" s="49">
        <f t="shared" si="77"/>
        <v>2.8876338279936949E-7</v>
      </c>
    </row>
    <row r="80" spans="1:38" x14ac:dyDescent="0.25">
      <c r="A80" s="49"/>
      <c r="B80" s="49"/>
      <c r="C80" s="49"/>
      <c r="D80" s="49"/>
      <c r="E80" s="68">
        <v>398.10717055349869</v>
      </c>
      <c r="F80" s="61" t="str">
        <f t="shared" si="78"/>
        <v>2501381.12470458i</v>
      </c>
      <c r="G80" s="83" t="str">
        <f t="shared" si="57"/>
        <v>1609.21287602935-2015.49884507245i</v>
      </c>
      <c r="H80" s="62" t="str">
        <f t="shared" si="58"/>
        <v>-0.553956149385656-0.442289198292739i</v>
      </c>
      <c r="I80" s="62" t="str">
        <f t="shared" si="59"/>
        <v>-10.4353328771328-89.6740776057629i</v>
      </c>
      <c r="J80" s="89" t="str">
        <f t="shared" si="60"/>
        <v>-26226.8520836508-225375.538738964i</v>
      </c>
      <c r="K80" s="89" t="str">
        <f t="shared" si="61"/>
        <v>61.9440521689144-62.4699035353583i</v>
      </c>
      <c r="L80" s="89" t="str">
        <f t="shared" si="62"/>
        <v>1.13044166096416+1.12092597007204i</v>
      </c>
      <c r="M80" s="63">
        <f t="shared" si="79"/>
        <v>-165.02059991327963</v>
      </c>
      <c r="N80" s="63">
        <f t="shared" si="80"/>
        <v>-152.51029995663981</v>
      </c>
      <c r="O80" s="63" t="str">
        <f t="shared" si="63"/>
        <v>4.82893054527119E-12</v>
      </c>
      <c r="P80" s="63">
        <f t="shared" si="81"/>
        <v>-113.16149041032121</v>
      </c>
      <c r="Q80" s="63" t="str">
        <f t="shared" si="64"/>
        <v>5.21098102715118E-14+7.88860905221012E-31i</v>
      </c>
      <c r="R80" s="63">
        <f t="shared" si="65"/>
        <v>-132.83080508068809</v>
      </c>
      <c r="S80" s="63" t="str">
        <f t="shared" si="66"/>
        <v>1.52324695395521E-13</v>
      </c>
      <c r="T80" s="63">
        <f t="shared" si="82"/>
        <v>-128.17229681663542</v>
      </c>
      <c r="U80" s="63" t="str">
        <f t="shared" si="67"/>
        <v>1.66027928760353E-13</v>
      </c>
      <c r="V80" s="63">
        <f t="shared" si="83"/>
        <v>-127.79818849994456</v>
      </c>
      <c r="W80" s="63">
        <f t="shared" si="68"/>
        <v>102.64873945531943</v>
      </c>
      <c r="X80" s="63" t="str">
        <f t="shared" si="69"/>
        <v>2584.56285156043-1171.10992383241i</v>
      </c>
      <c r="Y80" s="90" t="str">
        <f t="shared" si="70"/>
        <v>2.61787100871845E-09-1.14089070167507E-09i</v>
      </c>
      <c r="Z80" s="90" t="str">
        <f t="shared" si="71"/>
        <v>2.58456285156043E-10-1.17110992383241E-10i</v>
      </c>
      <c r="AA80" s="90" t="str">
        <f t="shared" si="72"/>
        <v>1.30893550435922E-09-5.70445350837535E-10i</v>
      </c>
      <c r="AB80" s="90" t="str">
        <f t="shared" si="73"/>
        <v>3.97585358314834E-14-3.15544362088405E-30i</v>
      </c>
      <c r="AC80" s="90">
        <f t="shared" si="84"/>
        <v>-134.0056961753468</v>
      </c>
      <c r="AD80" s="90" t="str">
        <f t="shared" si="74"/>
        <v>2.31137599282857E-14</v>
      </c>
      <c r="AE80" s="63">
        <f t="shared" si="85"/>
        <v>-136.36129401847333</v>
      </c>
      <c r="AF80" s="63" t="str">
        <f t="shared" si="86"/>
        <v>5.24641137809748E-13+1.26217744835362E-29i</v>
      </c>
      <c r="AG80" s="63">
        <f t="shared" si="87"/>
        <v>-122.80137658802266</v>
      </c>
      <c r="AH80" s="116">
        <f t="shared" si="56"/>
        <v>-175</v>
      </c>
      <c r="AI80" s="63" t="str">
        <f t="shared" si="75"/>
        <v>2.57736266152763E-14</v>
      </c>
      <c r="AJ80" s="134">
        <f t="shared" si="88"/>
        <v>-135.88824467433318</v>
      </c>
      <c r="AK80" s="63">
        <f t="shared" si="76"/>
        <v>-112.35623582210904</v>
      </c>
      <c r="AL80" s="49">
        <f t="shared" si="77"/>
        <v>2.8235919622854864E-7</v>
      </c>
    </row>
    <row r="81" spans="1:38" x14ac:dyDescent="0.25">
      <c r="A81" s="49"/>
      <c r="B81" s="49"/>
      <c r="C81" s="49"/>
      <c r="D81" s="49"/>
      <c r="E81" s="68">
        <v>446.68359215096467</v>
      </c>
      <c r="F81" s="61" t="str">
        <f t="shared" si="78"/>
        <v>2806595.78316114i</v>
      </c>
      <c r="G81" s="83" t="str">
        <f t="shared" si="57"/>
        <v>1441.03219509141-2042.71757910164i</v>
      </c>
      <c r="H81" s="62" t="str">
        <f t="shared" si="58"/>
        <v>-0.500381403000114-0.352993345201097i</v>
      </c>
      <c r="I81" s="62" t="str">
        <f t="shared" si="59"/>
        <v>-26.8065913547108-75.4615945007239i</v>
      </c>
      <c r="J81" s="89" t="str">
        <f t="shared" si="60"/>
        <v>-67372.3123741944-189655.672729317i</v>
      </c>
      <c r="K81" s="89" t="str">
        <f t="shared" si="61"/>
        <v>46.4578033586816-65.7552977961607i</v>
      </c>
      <c r="L81" s="89" t="str">
        <f t="shared" si="62"/>
        <v>1.33508239193389+0.943269931259048i</v>
      </c>
      <c r="M81" s="63">
        <f t="shared" si="79"/>
        <v>-165.52059991327963</v>
      </c>
      <c r="N81" s="63">
        <f t="shared" si="80"/>
        <v>-152.51029995663981</v>
      </c>
      <c r="O81" s="63" t="str">
        <f t="shared" si="63"/>
        <v>3.77766663448502E-12</v>
      </c>
      <c r="P81" s="63">
        <f t="shared" si="81"/>
        <v>-114.22776369651754</v>
      </c>
      <c r="Q81" s="63" t="str">
        <f t="shared" si="64"/>
        <v>4.10023063641907E-14</v>
      </c>
      <c r="R81" s="63">
        <f t="shared" si="65"/>
        <v>-133.87191713693196</v>
      </c>
      <c r="S81" s="63" t="str">
        <f t="shared" si="66"/>
        <v>1.19855815918287E-13+6.31088724176809E-30i</v>
      </c>
      <c r="T81" s="63">
        <f t="shared" si="82"/>
        <v>-129.21340887287928</v>
      </c>
      <c r="U81" s="63" t="str">
        <f t="shared" si="67"/>
        <v>1.37176385441896E-13-1.26217744835362E-29i</v>
      </c>
      <c r="V81" s="63">
        <f t="shared" si="83"/>
        <v>-128.62720644860826</v>
      </c>
      <c r="W81" s="63">
        <f t="shared" si="68"/>
        <v>102.64873945531943</v>
      </c>
      <c r="X81" s="63" t="str">
        <f t="shared" si="69"/>
        <v>2549.68440987396-1175.37304279427i</v>
      </c>
      <c r="Y81" s="90" t="str">
        <f t="shared" si="70"/>
        <v>2.58389256741314E-09-1.14504381547314E-09i</v>
      </c>
      <c r="Z81" s="90" t="str">
        <f t="shared" si="71"/>
        <v>2.54968440987396E-10-1.17537304279427E-10i</v>
      </c>
      <c r="AA81" s="90" t="str">
        <f t="shared" si="72"/>
        <v>1.29194628370657E-09-5.7252190773657E-10i</v>
      </c>
      <c r="AB81" s="90" t="str">
        <f t="shared" si="73"/>
        <v>3.26157748855992E-14+3.15544362088405E-30i</v>
      </c>
      <c r="AC81" s="90">
        <f t="shared" si="84"/>
        <v>-134.86572299050363</v>
      </c>
      <c r="AD81" s="90" t="str">
        <f t="shared" si="74"/>
        <v>1.93584005917228E-14-1.57772181044202E-30i</v>
      </c>
      <c r="AE81" s="63">
        <f t="shared" si="85"/>
        <v>-137.13130527341835</v>
      </c>
      <c r="AF81" s="63" t="str">
        <f t="shared" si="86"/>
        <v>6.54190491491418E-13</v>
      </c>
      <c r="AG81" s="63">
        <f t="shared" si="87"/>
        <v>-121.84295772535737</v>
      </c>
      <c r="AH81" s="116">
        <f t="shared" si="56"/>
        <v>-175</v>
      </c>
      <c r="AI81" s="63" t="str">
        <f t="shared" si="75"/>
        <v>2.02798307859805E-14</v>
      </c>
      <c r="AJ81" s="134">
        <f t="shared" si="88"/>
        <v>-136.92935673057713</v>
      </c>
      <c r="AK81" s="63">
        <f t="shared" si="76"/>
        <v>-113.18564672751792</v>
      </c>
      <c r="AL81" s="49">
        <f t="shared" si="77"/>
        <v>2.6173442427762565E-7</v>
      </c>
    </row>
    <row r="82" spans="1:38" x14ac:dyDescent="0.25">
      <c r="A82" s="49"/>
      <c r="B82" s="49"/>
      <c r="C82" s="49"/>
      <c r="D82" s="49"/>
      <c r="E82" s="68">
        <v>501.18723362727405</v>
      </c>
      <c r="F82" s="61" t="str">
        <f t="shared" si="78"/>
        <v>3149052.26247287i</v>
      </c>
      <c r="G82" s="83" t="str">
        <f t="shared" si="57"/>
        <v>1251.33715601561-2060.09934631196i</v>
      </c>
      <c r="H82" s="62" t="str">
        <f t="shared" si="58"/>
        <v>-0.449760176249751-0.27319149479125i</v>
      </c>
      <c r="I82" s="62" t="str">
        <f t="shared" si="59"/>
        <v>-36.6387985549951-57.9106170664191i</v>
      </c>
      <c r="J82" s="89" t="str">
        <f t="shared" si="60"/>
        <v>-92083.3443013829-145545.255312571i</v>
      </c>
      <c r="K82" s="89" t="str">
        <f t="shared" si="61"/>
        <v>31.7753897640353-63.9993747855076i</v>
      </c>
      <c r="L82" s="89" t="str">
        <f t="shared" si="62"/>
        <v>1.45798498193744+0.723882713330238i</v>
      </c>
      <c r="M82" s="63">
        <f t="shared" si="79"/>
        <v>-166.02059991327965</v>
      </c>
      <c r="N82" s="63">
        <f t="shared" si="80"/>
        <v>-152.51029995663981</v>
      </c>
      <c r="O82" s="63" t="str">
        <f t="shared" si="63"/>
        <v>2.75192343242073E-12+2.01948391736579E-28i</v>
      </c>
      <c r="P82" s="63">
        <f t="shared" si="81"/>
        <v>-115.60363653772198</v>
      </c>
      <c r="Q82" s="63" t="str">
        <f t="shared" si="64"/>
        <v>3.00245046617496E-14</v>
      </c>
      <c r="R82" s="63">
        <f t="shared" si="65"/>
        <v>-135.22524148769131</v>
      </c>
      <c r="S82" s="63" t="str">
        <f t="shared" si="66"/>
        <v>8.77660752010587E-14</v>
      </c>
      <c r="T82" s="63">
        <f t="shared" si="82"/>
        <v>-130.56673322363864</v>
      </c>
      <c r="U82" s="63" t="str">
        <f t="shared" si="67"/>
        <v>1.06241604772507E-13</v>
      </c>
      <c r="V82" s="63">
        <f t="shared" si="83"/>
        <v>-129.73705377936705</v>
      </c>
      <c r="W82" s="63">
        <f t="shared" si="68"/>
        <v>102.64873945531943</v>
      </c>
      <c r="X82" s="63" t="str">
        <f t="shared" si="69"/>
        <v>2507.09122531223-1190.80596716908i</v>
      </c>
      <c r="Y82" s="90" t="str">
        <f t="shared" si="70"/>
        <v>2.54239845381005E-09-1.16007850996301E-09i</v>
      </c>
      <c r="Z82" s="90" t="str">
        <f t="shared" si="71"/>
        <v>2.50709122531223E-10-1.19080596716908E-10i</v>
      </c>
      <c r="AA82" s="90" t="str">
        <f t="shared" si="72"/>
        <v>1.27119922690502E-09-5.80039254981505E-10i</v>
      </c>
      <c r="AB82" s="90" t="str">
        <f t="shared" si="73"/>
        <v>2.51169772064544E-14</v>
      </c>
      <c r="AC82" s="90">
        <f t="shared" si="84"/>
        <v>-136.00032628531554</v>
      </c>
      <c r="AD82" s="90" t="str">
        <f t="shared" si="74"/>
        <v>1.52475838794503E-14+7.88860905221012E-31i</v>
      </c>
      <c r="AE82" s="63">
        <f t="shared" si="85"/>
        <v>-138.16798968838785</v>
      </c>
      <c r="AF82" s="63" t="str">
        <f t="shared" si="86"/>
        <v>7.59124027662782E-13</v>
      </c>
      <c r="AG82" s="63">
        <f t="shared" si="87"/>
        <v>-121.19687262142668</v>
      </c>
      <c r="AH82" s="116">
        <f t="shared" si="56"/>
        <v>-175</v>
      </c>
      <c r="AI82" s="63" t="str">
        <f t="shared" si="75"/>
        <v>1.48501859520991E-14</v>
      </c>
      <c r="AJ82" s="134">
        <f t="shared" si="88"/>
        <v>-138.28268108133645</v>
      </c>
      <c r="AK82" s="63">
        <f t="shared" si="76"/>
        <v>-114.21327057116301</v>
      </c>
      <c r="AL82" s="49">
        <f t="shared" si="77"/>
        <v>2.3179201028451413E-7</v>
      </c>
    </row>
    <row r="83" spans="1:38" x14ac:dyDescent="0.25">
      <c r="A83" s="49"/>
      <c r="B83" s="49"/>
      <c r="C83" s="49"/>
      <c r="D83" s="49"/>
      <c r="E83" s="68">
        <v>562.3413251903512</v>
      </c>
      <c r="F83" s="61" t="str">
        <f t="shared" si="78"/>
        <v>3533294.75205591i</v>
      </c>
      <c r="G83" s="83" t="str">
        <f t="shared" si="57"/>
        <v>1042.40674596574-2060.65027171225i</v>
      </c>
      <c r="H83" s="62" t="str">
        <f t="shared" si="58"/>
        <v>-0.400956376757939-0.20282899903396i</v>
      </c>
      <c r="I83" s="62" t="str">
        <f t="shared" si="59"/>
        <v>-39.8108616560159-40.5665233719822i</v>
      </c>
      <c r="J83" s="89" t="str">
        <f t="shared" si="60"/>
        <v>-100055.608409295-101954.793445678i</v>
      </c>
      <c r="K83" s="89" t="str">
        <f t="shared" si="61"/>
        <v>19.8381186435461-58.5907268050265i</v>
      </c>
      <c r="L83" s="89" t="str">
        <f t="shared" si="62"/>
        <v>1.4976357707002+0.507081542149778i</v>
      </c>
      <c r="M83" s="63">
        <f t="shared" si="79"/>
        <v>-166.52059991327963</v>
      </c>
      <c r="N83" s="63">
        <f t="shared" si="80"/>
        <v>-152.51029995663981</v>
      </c>
      <c r="O83" s="63" t="str">
        <f t="shared" si="63"/>
        <v>1.88434768266568E-12-2.01948391736579E-28i</v>
      </c>
      <c r="P83" s="63">
        <f t="shared" si="81"/>
        <v>-117.24838962088769</v>
      </c>
      <c r="Q83" s="63" t="str">
        <f t="shared" si="64"/>
        <v>2.06547571768112E-14</v>
      </c>
      <c r="R83" s="63">
        <f t="shared" si="65"/>
        <v>-136.84979906346601</v>
      </c>
      <c r="S83" s="63" t="str">
        <f t="shared" si="66"/>
        <v>6.03769151918454E-14+6.31088724176809E-30i</v>
      </c>
      <c r="T83" s="63">
        <f t="shared" si="82"/>
        <v>-132.19129079941331</v>
      </c>
      <c r="U83" s="63" t="str">
        <f t="shared" si="67"/>
        <v>7.7983468284286E-14-3.15544362088405E-30i</v>
      </c>
      <c r="V83" s="63">
        <f t="shared" si="83"/>
        <v>-131.07997453641087</v>
      </c>
      <c r="W83" s="63">
        <f t="shared" si="68"/>
        <v>102.64873945531943</v>
      </c>
      <c r="X83" s="63" t="str">
        <f t="shared" si="69"/>
        <v>2455.45136949703-1216.09967087948i</v>
      </c>
      <c r="Y83" s="90" t="str">
        <f t="shared" si="70"/>
        <v>2.49209110849903E-09-1.18471953706633E-09i</v>
      </c>
      <c r="Z83" s="90" t="str">
        <f t="shared" si="71"/>
        <v>2.45545136949703E-10-1.21609967087948E-10i</v>
      </c>
      <c r="AA83" s="90" t="str">
        <f t="shared" si="72"/>
        <v>1.24604555424952E-09-5.92359768533165E-10i</v>
      </c>
      <c r="AB83" s="90" t="str">
        <f t="shared" si="73"/>
        <v>1.83528305651614E-14</v>
      </c>
      <c r="AC83" s="90">
        <f t="shared" si="84"/>
        <v>-137.36296944816374</v>
      </c>
      <c r="AD83" s="90" t="str">
        <f t="shared" si="74"/>
        <v>1.14274085654562E-14-3.94430452610506E-31i</v>
      </c>
      <c r="AE83" s="63">
        <f t="shared" si="85"/>
        <v>-139.42052244961116</v>
      </c>
      <c r="AF83" s="63" t="str">
        <f t="shared" si="86"/>
        <v>8.2752787905774E-13-5.04870979341448E-29i</v>
      </c>
      <c r="AG83" s="63">
        <f t="shared" si="87"/>
        <v>-120.8221736611178</v>
      </c>
      <c r="AH83" s="116">
        <f t="shared" si="56"/>
        <v>-175</v>
      </c>
      <c r="AI83" s="63" t="str">
        <f t="shared" si="75"/>
        <v>1.02158882661556E-14</v>
      </c>
      <c r="AJ83" s="134">
        <f t="shared" si="88"/>
        <v>-139.90723865711109</v>
      </c>
      <c r="AK83" s="63">
        <f t="shared" si="76"/>
        <v>-115.3597467884853</v>
      </c>
      <c r="AL83" s="49">
        <f t="shared" si="77"/>
        <v>1.9973346686226676E-7</v>
      </c>
    </row>
    <row r="84" spans="1:38" x14ac:dyDescent="0.25">
      <c r="A84" s="49"/>
      <c r="B84" s="49"/>
      <c r="C84" s="49"/>
      <c r="D84" s="49"/>
      <c r="E84" s="68">
        <v>630.9573444801955</v>
      </c>
      <c r="F84" s="61" t="str">
        <f t="shared" si="78"/>
        <v>3964421.91629501i</v>
      </c>
      <c r="G84" s="83" t="str">
        <f t="shared" si="57"/>
        <v>818.654226851181-2037.56196809647i</v>
      </c>
      <c r="H84" s="62" t="str">
        <f t="shared" si="58"/>
        <v>-0.353348831845698-0.14196894095626i</v>
      </c>
      <c r="I84" s="62" t="str">
        <f t="shared" si="59"/>
        <v>-38.0254833073727-25.9118883505986i</v>
      </c>
      <c r="J84" s="89" t="str">
        <f t="shared" si="60"/>
        <v>-95568.4632061148-65123.6784663037i</v>
      </c>
      <c r="K84" s="89" t="str">
        <f t="shared" si="61"/>
        <v>11.2935832489359-51.4408908834665i</v>
      </c>
      <c r="L84" s="89" t="str">
        <f t="shared" si="62"/>
        <v>1.47531854134216+0.323898604382483i</v>
      </c>
      <c r="M84" s="63">
        <f t="shared" si="79"/>
        <v>-167.02059991327963</v>
      </c>
      <c r="N84" s="63">
        <f t="shared" si="80"/>
        <v>-152.51029995663981</v>
      </c>
      <c r="O84" s="63" t="str">
        <f t="shared" si="63"/>
        <v>1.22990740729219E-12</v>
      </c>
      <c r="P84" s="63">
        <f t="shared" si="81"/>
        <v>-119.10127582882319</v>
      </c>
      <c r="Q84" s="63" t="str">
        <f t="shared" si="64"/>
        <v>1.35375273962752E-14-7.88860905221012E-31i</v>
      </c>
      <c r="R84" s="63">
        <f t="shared" si="65"/>
        <v>-138.68460651471767</v>
      </c>
      <c r="S84" s="63" t="str">
        <f t="shared" si="66"/>
        <v>3.95721981389266E-14</v>
      </c>
      <c r="T84" s="63">
        <f t="shared" si="82"/>
        <v>-134.026098250665</v>
      </c>
      <c r="U84" s="63" t="str">
        <f t="shared" si="67"/>
        <v>5.51001122089958E-14-1.57772181044202E-30i</v>
      </c>
      <c r="V84" s="63">
        <f t="shared" si="83"/>
        <v>-132.58847516725382</v>
      </c>
      <c r="W84" s="63">
        <f t="shared" si="68"/>
        <v>102.64873945531943</v>
      </c>
      <c r="X84" s="63" t="str">
        <f t="shared" si="69"/>
        <v>2393.38902476942-1249.65348761743i</v>
      </c>
      <c r="Y84" s="90" t="str">
        <f t="shared" si="70"/>
        <v>2.4316302153045E-09-1.21740753393409E-09i</v>
      </c>
      <c r="Z84" s="90" t="str">
        <f t="shared" si="71"/>
        <v>2.39338902476942E-10-1.24965348761743E-10i</v>
      </c>
      <c r="AA84" s="90" t="str">
        <f t="shared" si="72"/>
        <v>1.21581510765225E-09-6.08703766967045E-10i</v>
      </c>
      <c r="AB84" s="90" t="str">
        <f t="shared" si="73"/>
        <v>1.29206812616406E-14-3.94430452610506E-31i</v>
      </c>
      <c r="AC84" s="90">
        <f t="shared" si="84"/>
        <v>-138.88714586931408</v>
      </c>
      <c r="AD84" s="90" t="str">
        <f t="shared" si="74"/>
        <v>8.28353542893395E-15+1.97215226305253E-31i</v>
      </c>
      <c r="AE84" s="63">
        <f t="shared" si="85"/>
        <v>-140.81784265923935</v>
      </c>
      <c r="AF84" s="63" t="str">
        <f t="shared" si="86"/>
        <v>8.59425608657275E-13-5.04870979341448E-29i</v>
      </c>
      <c r="AG84" s="63">
        <f t="shared" si="87"/>
        <v>-120.65791709608547</v>
      </c>
      <c r="AH84" s="116">
        <f t="shared" si="56"/>
        <v>-175</v>
      </c>
      <c r="AI84" s="63" t="str">
        <f t="shared" si="75"/>
        <v>6.69569078428242E-15</v>
      </c>
      <c r="AJ84" s="134">
        <f t="shared" si="88"/>
        <v>-141.74204610836281</v>
      </c>
      <c r="AK84" s="63">
        <f t="shared" si="76"/>
        <v>-116.52583571378469</v>
      </c>
      <c r="AL84" s="49">
        <f t="shared" si="77"/>
        <v>1.7133336627789215E-7</v>
      </c>
    </row>
    <row r="85" spans="1:38" x14ac:dyDescent="0.25">
      <c r="A85" s="49"/>
      <c r="B85" s="49"/>
      <c r="C85" s="49"/>
      <c r="D85" s="49"/>
      <c r="E85" s="68">
        <v>707.94578438414078</v>
      </c>
      <c r="F85" s="61" t="str">
        <f t="shared" si="78"/>
        <v>4448154.55072216i</v>
      </c>
      <c r="G85" s="83" t="str">
        <f t="shared" si="57"/>
        <v>586.766700920088-1985.0340508139i</v>
      </c>
      <c r="H85" s="62" t="str">
        <f t="shared" si="58"/>
        <v>-0.306803842890981-0.090689768595623i</v>
      </c>
      <c r="I85" s="62" t="str">
        <f t="shared" si="59"/>
        <v>-33.4653665529842-14.8444963676989i</v>
      </c>
      <c r="J85" s="89" t="str">
        <f t="shared" si="60"/>
        <v>-84107.6397700353-37308.2885880025i</v>
      </c>
      <c r="K85" s="89" t="str">
        <f t="shared" si="61"/>
        <v>5.76631232385745-44.0753748243799i</v>
      </c>
      <c r="L85" s="89" t="str">
        <f t="shared" si="62"/>
        <v>1.4183170819123+0.185556204596236i</v>
      </c>
      <c r="M85" s="63">
        <f t="shared" si="79"/>
        <v>-167.52059991327963</v>
      </c>
      <c r="N85" s="63">
        <f t="shared" si="80"/>
        <v>-152.51029995663981</v>
      </c>
      <c r="O85" s="63" t="str">
        <f t="shared" si="63"/>
        <v>7.75636275603453E-13+5.04870979341448E-29i</v>
      </c>
      <c r="P85" s="63">
        <f t="shared" si="81"/>
        <v>-121.10341887672243</v>
      </c>
      <c r="Q85" s="63" t="str">
        <f t="shared" si="64"/>
        <v>8.56924740974745E-15+3.94430452610506E-31i</v>
      </c>
      <c r="R85" s="63">
        <f t="shared" si="65"/>
        <v>-140.67057318117168</v>
      </c>
      <c r="S85" s="63" t="str">
        <f t="shared" si="66"/>
        <v>2.50491796968266E-14</v>
      </c>
      <c r="T85" s="63">
        <f t="shared" si="82"/>
        <v>-136.01206491711901</v>
      </c>
      <c r="U85" s="63" t="str">
        <f t="shared" si="67"/>
        <v>3.8040839923627E-14</v>
      </c>
      <c r="V85" s="63">
        <f t="shared" si="83"/>
        <v>-134.19749902613452</v>
      </c>
      <c r="W85" s="63">
        <f t="shared" si="68"/>
        <v>102.64873945531943</v>
      </c>
      <c r="X85" s="63" t="str">
        <f t="shared" si="69"/>
        <v>2319.58053853438-1289.49534108734i</v>
      </c>
      <c r="Y85" s="90" t="str">
        <f t="shared" si="70"/>
        <v>2.35972627705189E-09-1.25622131156187E-09i</v>
      </c>
      <c r="Z85" s="90" t="str">
        <f t="shared" si="71"/>
        <v>2.31958053853438E-10-1.28949534108734E-10i</v>
      </c>
      <c r="AA85" s="90" t="str">
        <f t="shared" si="72"/>
        <v>1.17986313852594E-09-6.28110655780935E-10i</v>
      </c>
      <c r="AB85" s="90" t="str">
        <f t="shared" si="73"/>
        <v>8.89489185363312E-15-1.97215226305253E-31i</v>
      </c>
      <c r="AC85" s="90">
        <f t="shared" si="84"/>
        <v>-140.50859327811185</v>
      </c>
      <c r="AD85" s="90" t="str">
        <f t="shared" si="74"/>
        <v>5.90088549064809E-15</v>
      </c>
      <c r="AE85" s="63">
        <f t="shared" si="85"/>
        <v>-142.29082812960084</v>
      </c>
      <c r="AF85" s="63" t="str">
        <f t="shared" si="86"/>
        <v>8.61973248271838E-13</v>
      </c>
      <c r="AG85" s="63">
        <f t="shared" si="87"/>
        <v>-120.64506212491074</v>
      </c>
      <c r="AH85" s="116">
        <f t="shared" si="56"/>
        <v>-175</v>
      </c>
      <c r="AI85" s="63" t="str">
        <f t="shared" si="75"/>
        <v>4.23836859052045E-15</v>
      </c>
      <c r="AJ85" s="134">
        <f t="shared" si="88"/>
        <v>-143.72801277481676</v>
      </c>
      <c r="AK85" s="63">
        <f t="shared" si="76"/>
        <v>-117.62380132072877</v>
      </c>
      <c r="AL85" s="49">
        <f t="shared" si="77"/>
        <v>1.4929504261433098E-7</v>
      </c>
    </row>
    <row r="86" spans="1:38" x14ac:dyDescent="0.25">
      <c r="A86" s="49"/>
      <c r="B86" s="49"/>
      <c r="C86" s="49"/>
      <c r="D86" s="49"/>
      <c r="E86" s="68">
        <v>794.3282347242847</v>
      </c>
      <c r="F86" s="61" t="str">
        <f t="shared" si="78"/>
        <v>4990911.49349752i</v>
      </c>
      <c r="G86" s="83" t="str">
        <f t="shared" si="57"/>
        <v>355.471787887539-1899.22329510807i</v>
      </c>
      <c r="H86" s="62" t="str">
        <f t="shared" si="58"/>
        <v>-0.261618747815499-0.0489663770818387i</v>
      </c>
      <c r="I86" s="62" t="str">
        <f t="shared" si="59"/>
        <v>-27.8707198015264-7.15353799444934i</v>
      </c>
      <c r="J86" s="89" t="str">
        <f t="shared" si="60"/>
        <v>-70046.7588629878-17978.80192843i</v>
      </c>
      <c r="K86" s="89" t="str">
        <f t="shared" si="61"/>
        <v>2.47658696049802-37.3453273453341i</v>
      </c>
      <c r="L86" s="89" t="str">
        <f t="shared" si="62"/>
        <v>1.34838399751908+0.0894192249306168i</v>
      </c>
      <c r="M86" s="63">
        <f t="shared" si="79"/>
        <v>-168.02059991327965</v>
      </c>
      <c r="N86" s="63">
        <f t="shared" si="80"/>
        <v>-152.51029995663981</v>
      </c>
      <c r="O86" s="63" t="str">
        <f t="shared" si="63"/>
        <v>4.7754769183573E-13</v>
      </c>
      <c r="P86" s="63">
        <f t="shared" si="81"/>
        <v>-123.20983249699492</v>
      </c>
      <c r="Q86" s="63" t="str">
        <f t="shared" si="64"/>
        <v>5.29356362094239E-15+1.97215226305253E-31i</v>
      </c>
      <c r="R86" s="63">
        <f t="shared" si="65"/>
        <v>-142.76251862964406</v>
      </c>
      <c r="S86" s="63" t="str">
        <f t="shared" si="66"/>
        <v>1.54738706956622E-14</v>
      </c>
      <c r="T86" s="63">
        <f t="shared" si="82"/>
        <v>-138.10401036559136</v>
      </c>
      <c r="U86" s="63" t="str">
        <f t="shared" si="67"/>
        <v>2.59611625320234E-14-1.97215226305253E-31i</v>
      </c>
      <c r="V86" s="63">
        <f t="shared" si="83"/>
        <v>-135.85675863877123</v>
      </c>
      <c r="W86" s="63">
        <f t="shared" si="68"/>
        <v>102.64873945531943</v>
      </c>
      <c r="X86" s="63" t="str">
        <f t="shared" si="69"/>
        <v>2232.89218455058-1333.22516511477i</v>
      </c>
      <c r="Y86" s="90" t="str">
        <f t="shared" si="70"/>
        <v>2.27527482207661E-09-1.29882273488131E-09i</v>
      </c>
      <c r="Z86" s="90" t="str">
        <f t="shared" si="71"/>
        <v>2.23289218455058E-10-1.33322516511477E-10i</v>
      </c>
      <c r="AA86" s="90" t="str">
        <f t="shared" si="72"/>
        <v>1.13763741103831E-09-6.49411367440655E-10i</v>
      </c>
      <c r="AB86" s="90" t="str">
        <f t="shared" si="73"/>
        <v>6.05667113234394E-15-4.93038065763132E-32i</v>
      </c>
      <c r="AC86" s="90">
        <f t="shared" si="84"/>
        <v>-142.17766007199475</v>
      </c>
      <c r="AD86" s="90" t="str">
        <f t="shared" si="74"/>
        <v>4.18343406510853E-15</v>
      </c>
      <c r="AE86" s="63">
        <f t="shared" si="85"/>
        <v>-143.78467071517565</v>
      </c>
      <c r="AF86" s="63" t="str">
        <f t="shared" si="86"/>
        <v>8.43627816524317E-13+2.52435489670724E-29i</v>
      </c>
      <c r="AG86" s="63">
        <f t="shared" si="87"/>
        <v>-120.73849108918503</v>
      </c>
      <c r="AH86" s="116">
        <f t="shared" si="56"/>
        <v>-175</v>
      </c>
      <c r="AI86" s="63" t="str">
        <f t="shared" si="75"/>
        <v>2.61820819380275E-15+9.86076131526265E-32i</v>
      </c>
      <c r="AJ86" s="134">
        <f t="shared" si="88"/>
        <v>-145.81995822328918</v>
      </c>
      <c r="AK86" s="63">
        <f t="shared" si="76"/>
        <v>-118.59881042034998</v>
      </c>
      <c r="AL86" s="49">
        <f t="shared" si="77"/>
        <v>1.3382722637689562E-7</v>
      </c>
    </row>
    <row r="87" spans="1:38" x14ac:dyDescent="0.25">
      <c r="A87" s="49"/>
      <c r="B87" s="49"/>
      <c r="C87" s="49"/>
      <c r="D87" s="49"/>
      <c r="E87" s="68">
        <v>891.25093813374917</v>
      </c>
      <c r="F87" s="61" t="str">
        <f t="shared" si="78"/>
        <v>5599894.799492i</v>
      </c>
      <c r="G87" s="83" t="str">
        <f t="shared" si="57"/>
        <v>134.846588093751-1779.12580453402i</v>
      </c>
      <c r="H87" s="62" t="str">
        <f t="shared" si="58"/>
        <v>-0.218423565872719-0.0165551376648833i</v>
      </c>
      <c r="I87" s="62" t="str">
        <f t="shared" si="59"/>
        <v>-22.311327932671-2.16713048736389i</v>
      </c>
      <c r="J87" s="89" t="str">
        <f t="shared" si="60"/>
        <v>-56074.4831400899-5446.5929747783i</v>
      </c>
      <c r="K87" s="89" t="str">
        <f t="shared" si="61"/>
        <v>0.668679109918239-31.568679456764i</v>
      </c>
      <c r="L87" s="89" t="str">
        <f t="shared" si="62"/>
        <v>1.27889159915839+0.0270891310920487i</v>
      </c>
      <c r="M87" s="63">
        <f t="shared" si="79"/>
        <v>-168.52059991327965</v>
      </c>
      <c r="N87" s="63">
        <f t="shared" si="80"/>
        <v>-152.51029995663981</v>
      </c>
      <c r="O87" s="63" t="str">
        <f t="shared" si="63"/>
        <v>2.88966838970382E-13-3.15544362088405E-30i</v>
      </c>
      <c r="P87" s="63">
        <f t="shared" si="81"/>
        <v>-125.3915199280917</v>
      </c>
      <c r="Q87" s="63" t="str">
        <f t="shared" si="64"/>
        <v>3.21272051049114E-15+4.93038065763132E-32i</v>
      </c>
      <c r="R87" s="63">
        <f t="shared" si="65"/>
        <v>-144.93127054103331</v>
      </c>
      <c r="S87" s="63" t="str">
        <f t="shared" si="66"/>
        <v>9.39125801075976E-15</v>
      </c>
      <c r="T87" s="63">
        <f t="shared" si="82"/>
        <v>-140.27276227698064</v>
      </c>
      <c r="U87" s="63" t="str">
        <f t="shared" si="67"/>
        <v>1.76476320034283E-14</v>
      </c>
      <c r="V87" s="63">
        <f t="shared" si="83"/>
        <v>-137.53313560918545</v>
      </c>
      <c r="W87" s="63">
        <f t="shared" si="68"/>
        <v>102.64873945531943</v>
      </c>
      <c r="X87" s="63" t="str">
        <f t="shared" si="69"/>
        <v>2132.55728802778-1378.00381120691i</v>
      </c>
      <c r="Y87" s="90" t="str">
        <f t="shared" si="70"/>
        <v>2.17752895880035E-09-1.34244591654895E-09i</v>
      </c>
      <c r="Z87" s="90" t="str">
        <f t="shared" si="71"/>
        <v>2.13255728802778E-10-1.37800381120691E-10i</v>
      </c>
      <c r="AA87" s="90" t="str">
        <f t="shared" si="72"/>
        <v>1.08876447940017E-09-6.71222958274475E-10i</v>
      </c>
      <c r="AB87" s="90" t="str">
        <f t="shared" si="73"/>
        <v>4.10985615709685E-15-1.23259516440783E-32i</v>
      </c>
      <c r="AC87" s="90">
        <f t="shared" si="84"/>
        <v>-143.86173377946875</v>
      </c>
      <c r="AD87" s="90" t="str">
        <f t="shared" si="74"/>
        <v>2.97757204470499E-15</v>
      </c>
      <c r="AE87" s="63">
        <f t="shared" si="85"/>
        <v>-145.26137721620398</v>
      </c>
      <c r="AF87" s="63" t="str">
        <f t="shared" si="86"/>
        <v>8.11127132888246E-13</v>
      </c>
      <c r="AG87" s="63">
        <f t="shared" si="87"/>
        <v>-120.9091107083858</v>
      </c>
      <c r="AH87" s="116">
        <f t="shared" si="56"/>
        <v>-175</v>
      </c>
      <c r="AI87" s="63" t="str">
        <f t="shared" si="75"/>
        <v>1.58901862096983E-15</v>
      </c>
      <c r="AJ87" s="134">
        <f t="shared" si="88"/>
        <v>-147.98871013467848</v>
      </c>
      <c r="AK87" s="63">
        <f t="shared" si="76"/>
        <v>-119.4346787638611</v>
      </c>
      <c r="AL87" s="49">
        <f t="shared" si="77"/>
        <v>1.2386757712115481E-7</v>
      </c>
    </row>
    <row r="88" spans="1:38" x14ac:dyDescent="0.25">
      <c r="A88" s="49"/>
      <c r="B88" s="49"/>
      <c r="C88" s="49"/>
      <c r="D88" s="49"/>
      <c r="E88" s="68">
        <v>1000</v>
      </c>
      <c r="F88" s="61" t="str">
        <f t="shared" si="78"/>
        <v>6283185.30717959i</v>
      </c>
      <c r="G88" s="83" t="str">
        <f t="shared" si="57"/>
        <v>-64.8000104957625-1627.14532220754i</v>
      </c>
      <c r="H88" s="62" t="str">
        <f t="shared" si="58"/>
        <v>-0.178040652046252+0.00709035386318003i</v>
      </c>
      <c r="I88" s="62" t="str">
        <f t="shared" si="59"/>
        <v>-17.3211726218039+0.839508126510225i</v>
      </c>
      <c r="J88" s="89" t="str">
        <f t="shared" si="60"/>
        <v>-43532.8549281757+2109.91405029877i</v>
      </c>
      <c r="K88" s="89" t="str">
        <f t="shared" si="61"/>
        <v>-0.230864734790312-26.7633224709961i</v>
      </c>
      <c r="L88" s="89" t="str">
        <f t="shared" si="62"/>
        <v>1.21651465777255-0.0104938515813778i</v>
      </c>
      <c r="M88" s="63">
        <f t="shared" si="79"/>
        <v>-169.02059991327963</v>
      </c>
      <c r="N88" s="63">
        <f t="shared" si="80"/>
        <v>-152.51029995663981</v>
      </c>
      <c r="O88" s="63" t="str">
        <f t="shared" si="63"/>
        <v>1.72479091083266E-13-1.57772181044202E-30i</v>
      </c>
      <c r="P88" s="63">
        <f t="shared" si="81"/>
        <v>-127.63263545098191</v>
      </c>
      <c r="Q88" s="63" t="str">
        <f t="shared" si="64"/>
        <v>1.92272657593013E-15</v>
      </c>
      <c r="R88" s="63">
        <f t="shared" si="65"/>
        <v>-147.1608247083569</v>
      </c>
      <c r="S88" s="63" t="str">
        <f t="shared" si="66"/>
        <v>5.6204146298254E-15</v>
      </c>
      <c r="T88" s="63">
        <f t="shared" si="82"/>
        <v>-142.5023164443042</v>
      </c>
      <c r="U88" s="63" t="str">
        <f t="shared" si="67"/>
        <v>1.20003246582602E-14</v>
      </c>
      <c r="V88" s="63">
        <f t="shared" si="83"/>
        <v>-139.20807004337075</v>
      </c>
      <c r="W88" s="63">
        <f t="shared" si="68"/>
        <v>102.64873945531943</v>
      </c>
      <c r="X88" s="63" t="str">
        <f t="shared" si="69"/>
        <v>2018.37814266004-1420.61244570335i</v>
      </c>
      <c r="Y88" s="90" t="str">
        <f t="shared" si="70"/>
        <v>2.06629608251409E-09-1.38395508141794E-09i</v>
      </c>
      <c r="Z88" s="90" t="str">
        <f t="shared" si="71"/>
        <v>2.01837814266004E-10-1.42061244570335E-10i</v>
      </c>
      <c r="AA88" s="90" t="str">
        <f t="shared" si="72"/>
        <v>1.03314804125704E-09-6.9197754070897E-10i</v>
      </c>
      <c r="AB88" s="90" t="str">
        <f t="shared" si="73"/>
        <v>2.79083780683828E-15+6.16297582203915E-33i</v>
      </c>
      <c r="AC88" s="90">
        <f t="shared" si="84"/>
        <v>-145.54265402365525</v>
      </c>
      <c r="AD88" s="90" t="str">
        <f t="shared" si="74"/>
        <v>2.13927692703698E-15</v>
      </c>
      <c r="AE88" s="63">
        <f t="shared" si="85"/>
        <v>-146.69732992848088</v>
      </c>
      <c r="AF88" s="63" t="str">
        <f t="shared" si="86"/>
        <v>7.68950476730455E-13+6.31088724176809E-30i</v>
      </c>
      <c r="AG88" s="63">
        <f t="shared" si="87"/>
        <v>-121.14101629477192</v>
      </c>
      <c r="AH88" s="116">
        <v>-175</v>
      </c>
      <c r="AI88" s="63" t="str">
        <f t="shared" si="75"/>
        <v>9.50984787568566E-16+6.16297582203915E-33i</v>
      </c>
      <c r="AJ88" s="134">
        <f t="shared" si="88"/>
        <v>-150.21826430200198</v>
      </c>
      <c r="AK88" s="63">
        <f t="shared" si="76"/>
        <v>-120.14639041868507</v>
      </c>
      <c r="AL88" s="49">
        <f t="shared" si="77"/>
        <v>1.1797404686843116E-7</v>
      </c>
    </row>
    <row r="89" spans="1:38" x14ac:dyDescent="0.25">
      <c r="A89" s="49"/>
      <c r="B89" s="49"/>
      <c r="C89" s="49"/>
      <c r="D89" s="49"/>
      <c r="E89" s="68">
        <v>1122.0184543019659</v>
      </c>
      <c r="F89" s="61" t="str">
        <f t="shared" si="78"/>
        <v>7049849.86645446i</v>
      </c>
      <c r="G89" s="83" t="str">
        <f t="shared" si="57"/>
        <v>-234.293534992027-1449.12642900209i</v>
      </c>
      <c r="H89" s="62" t="str">
        <f t="shared" si="58"/>
        <v>-0.141318530012894+0.0228482603684195i</v>
      </c>
      <c r="I89" s="62" t="str">
        <f t="shared" si="59"/>
        <v>-13.1001794214509+2.47725986191343i</v>
      </c>
      <c r="J89" s="89" t="str">
        <f t="shared" si="60"/>
        <v>-32924.3419449105+6226.03310657606i</v>
      </c>
      <c r="K89" s="89" t="str">
        <f t="shared" si="61"/>
        <v>-0.60716154838114-22.8182961186917i</v>
      </c>
      <c r="L89" s="89" t="str">
        <f t="shared" si="62"/>
        <v>1.16375224276814-0.0309657482739179i</v>
      </c>
      <c r="M89" s="63">
        <f t="shared" si="79"/>
        <v>-169.52059991327963</v>
      </c>
      <c r="N89" s="63">
        <f t="shared" si="80"/>
        <v>-152.51029995663981</v>
      </c>
      <c r="O89" s="63" t="str">
        <f t="shared" si="63"/>
        <v>1.01705208500491E-13</v>
      </c>
      <c r="P89" s="63">
        <f t="shared" si="81"/>
        <v>-129.92656805532513</v>
      </c>
      <c r="Q89" s="63" t="str">
        <f t="shared" si="64"/>
        <v>1.13646816831969E-15+2.46519032881566E-32i</v>
      </c>
      <c r="R89" s="63">
        <f t="shared" si="65"/>
        <v>-149.44442724054022</v>
      </c>
      <c r="S89" s="63" t="str">
        <f t="shared" si="66"/>
        <v>3.32206482165302E-15</v>
      </c>
      <c r="T89" s="63">
        <f t="shared" si="82"/>
        <v>-144.78591897648755</v>
      </c>
      <c r="U89" s="63" t="str">
        <f t="shared" si="67"/>
        <v>8.17759459280832E-15+2.46519032881566E-32i</v>
      </c>
      <c r="V89" s="63">
        <f t="shared" si="83"/>
        <v>-140.87374423553078</v>
      </c>
      <c r="W89" s="63">
        <f t="shared" si="68"/>
        <v>102.64873945531943</v>
      </c>
      <c r="X89" s="63" t="str">
        <f t="shared" si="69"/>
        <v>1890.92229552226-1457.60301233469i</v>
      </c>
      <c r="Y89" s="90" t="str">
        <f t="shared" si="70"/>
        <v>1.94212909535566E-09-1.41999114657336E-09i</v>
      </c>
      <c r="Z89" s="90" t="str">
        <f t="shared" si="71"/>
        <v>1.89092229552226E-10-1.45760301233469E-10i</v>
      </c>
      <c r="AA89" s="90" t="str">
        <f t="shared" si="72"/>
        <v>9.7106454767783E-10-7.0999557328668E-10i</v>
      </c>
      <c r="AB89" s="90" t="str">
        <f t="shared" si="73"/>
        <v>1.89980256149718E-15</v>
      </c>
      <c r="AC89" s="90">
        <f t="shared" si="84"/>
        <v>-147.21291531103893</v>
      </c>
      <c r="AD89" s="90" t="str">
        <f t="shared" si="74"/>
        <v>1.55606752767055E-15-6.16297582203915E-33i</v>
      </c>
      <c r="AE89" s="63">
        <f t="shared" si="85"/>
        <v>-148.07971560136596</v>
      </c>
      <c r="AF89" s="63" t="str">
        <f t="shared" si="86"/>
        <v>7.1985010622527E-13+2.52435489670724E-29i</v>
      </c>
      <c r="AG89" s="63">
        <f t="shared" si="87"/>
        <v>-121.42757926924872</v>
      </c>
      <c r="AH89" s="116">
        <f>AH88-(($AH$88-$AH$108)/20)</f>
        <v>-175</v>
      </c>
      <c r="AI89" s="63" t="str">
        <f t="shared" si="75"/>
        <v>5.62099652211399E-16</v>
      </c>
      <c r="AJ89" s="134">
        <f t="shared" si="88"/>
        <v>-152.50186683418531</v>
      </c>
      <c r="AK89" s="63">
        <f t="shared" si="76"/>
        <v>-120.7664746688753</v>
      </c>
      <c r="AL89" s="49">
        <f t="shared" si="77"/>
        <v>1.1475670034508404E-7</v>
      </c>
    </row>
    <row r="90" spans="1:38" x14ac:dyDescent="0.25">
      <c r="A90" s="49"/>
      <c r="B90" s="49"/>
      <c r="C90" s="49"/>
      <c r="D90" s="49"/>
      <c r="E90" s="68">
        <v>1258.9254117941703</v>
      </c>
      <c r="F90" s="61" t="str">
        <f t="shared" si="78"/>
        <v>7910061.65022014i</v>
      </c>
      <c r="G90" s="83" t="str">
        <f t="shared" si="57"/>
        <v>-366.911362602254-1253.75108902676i</v>
      </c>
      <c r="H90" s="62" t="str">
        <f t="shared" si="58"/>
        <v>-0.10896929908023+0.0318899615380406i</v>
      </c>
      <c r="I90" s="62" t="str">
        <f t="shared" si="59"/>
        <v>-9.66880406881058+3.20924375553469i</v>
      </c>
      <c r="J90" s="89" t="str">
        <f t="shared" si="60"/>
        <v>-24300.3550652596+8065.70928477333i</v>
      </c>
      <c r="K90" s="89" t="str">
        <f t="shared" si="61"/>
        <v>-0.701028054961793-19.5872772825993i</v>
      </c>
      <c r="L90" s="89" t="str">
        <f t="shared" si="62"/>
        <v>1.12086005086013-0.0401155469441836i</v>
      </c>
      <c r="M90" s="63">
        <f t="shared" si="79"/>
        <v>-170.02059991327963</v>
      </c>
      <c r="N90" s="63">
        <f t="shared" si="80"/>
        <v>-152.51029995663981</v>
      </c>
      <c r="O90" s="63" t="str">
        <f t="shared" si="63"/>
        <v>5.92572915081821E-14-3.15544362088405E-30i</v>
      </c>
      <c r="P90" s="63">
        <f t="shared" si="81"/>
        <v>-132.27258202837959</v>
      </c>
      <c r="Q90" s="63" t="str">
        <f t="shared" si="64"/>
        <v>6.63557592351534E-16</v>
      </c>
      <c r="R90" s="63">
        <f t="shared" si="65"/>
        <v>-151.78121377313485</v>
      </c>
      <c r="S90" s="63" t="str">
        <f t="shared" si="66"/>
        <v>1.93967714727203E-15</v>
      </c>
      <c r="T90" s="63">
        <f t="shared" si="82"/>
        <v>-147.12270550908218</v>
      </c>
      <c r="U90" s="63" t="str">
        <f t="shared" si="67"/>
        <v>5.58513842462009E-15</v>
      </c>
      <c r="V90" s="63">
        <f t="shared" si="83"/>
        <v>-142.52966058662307</v>
      </c>
      <c r="W90" s="63">
        <f t="shared" si="68"/>
        <v>102.64873945531943</v>
      </c>
      <c r="X90" s="63" t="str">
        <f t="shared" si="69"/>
        <v>1751.66787375193-1485.54527307543i</v>
      </c>
      <c r="Y90" s="90" t="str">
        <f t="shared" si="70"/>
        <v>1.80646798299397E-09-1.44721238756376E-09i</v>
      </c>
      <c r="Z90" s="90" t="str">
        <f t="shared" si="71"/>
        <v>1.75166787375193E-10-1.48554527307543E-10i</v>
      </c>
      <c r="AA90" s="90" t="str">
        <f t="shared" si="72"/>
        <v>9.03233991496985E-10-7.2360619378188E-10i</v>
      </c>
      <c r="AB90" s="90" t="str">
        <f t="shared" si="73"/>
        <v>1.29650435708822E-15</v>
      </c>
      <c r="AC90" s="90">
        <f t="shared" si="84"/>
        <v>-148.8722601938349</v>
      </c>
      <c r="AD90" s="90" t="str">
        <f t="shared" si="74"/>
        <v>1.14725173299891E-15-6.16297582203915E-33i</v>
      </c>
      <c r="AE90" s="63">
        <f t="shared" si="85"/>
        <v>-149.40341277602539</v>
      </c>
      <c r="AF90" s="63" t="str">
        <f t="shared" si="86"/>
        <v>6.65565333820292E-13</v>
      </c>
      <c r="AG90" s="63">
        <f t="shared" si="87"/>
        <v>-121.76809306492919</v>
      </c>
      <c r="AH90" s="116">
        <f t="shared" ref="AH90:AH107" si="89">AH89-(($AH$88-$AH$108)/20)</f>
        <v>-175</v>
      </c>
      <c r="AI90" s="63" t="str">
        <f t="shared" si="75"/>
        <v>3.28197042627686E-16</v>
      </c>
      <c r="AJ90" s="134">
        <f t="shared" si="88"/>
        <v>-154.83865336678002</v>
      </c>
      <c r="AK90" s="63">
        <f t="shared" si="76"/>
        <v>-121.33250279158842</v>
      </c>
      <c r="AL90" s="49">
        <f t="shared" si="77"/>
        <v>1.1302518849809548E-7</v>
      </c>
    </row>
    <row r="91" spans="1:38" x14ac:dyDescent="0.25">
      <c r="A91" s="49"/>
      <c r="B91" s="49"/>
      <c r="C91" s="49"/>
      <c r="D91" s="49"/>
      <c r="E91" s="68">
        <v>1412.5375446227577</v>
      </c>
      <c r="F91" s="61" t="str">
        <f t="shared" si="78"/>
        <v>8875235.14621324i</v>
      </c>
      <c r="G91" s="83" t="str">
        <f t="shared" si="57"/>
        <v>-459.324847509529-1051.37916562043i</v>
      </c>
      <c r="H91" s="62" t="str">
        <f t="shared" si="58"/>
        <v>-0.0814427070895637+0.0355805595525586i</v>
      </c>
      <c r="I91" s="62" t="str">
        <f t="shared" si="59"/>
        <v>-6.96261712949954+3.36851996223192i</v>
      </c>
      <c r="J91" s="89" t="str">
        <f t="shared" si="60"/>
        <v>-17498.9654590353+8466.01405345467i</v>
      </c>
      <c r="K91" s="89" t="str">
        <f t="shared" si="61"/>
        <v>-0.655800614390871-16.9303250038562i</v>
      </c>
      <c r="L91" s="89" t="str">
        <f t="shared" si="62"/>
        <v>1.08703271411874-0.0421064995278989i</v>
      </c>
      <c r="M91" s="63">
        <f t="shared" si="79"/>
        <v>-170.52059991327963</v>
      </c>
      <c r="N91" s="63">
        <f t="shared" si="80"/>
        <v>-152.51029995663981</v>
      </c>
      <c r="O91" s="63" t="str">
        <f t="shared" si="63"/>
        <v>3.40930242898469E-14-1.57772181044202E-30i</v>
      </c>
      <c r="P91" s="63">
        <f t="shared" si="81"/>
        <v>-134.67334472102434</v>
      </c>
      <c r="Q91" s="63" t="str">
        <f t="shared" si="64"/>
        <v>3.82495566407971E-16-2.46519032881566E-32i</v>
      </c>
      <c r="R91" s="63">
        <f t="shared" si="65"/>
        <v>-154.17373594486082</v>
      </c>
      <c r="S91" s="63" t="str">
        <f t="shared" si="66"/>
        <v>1.11809120662034E-15</v>
      </c>
      <c r="T91" s="63">
        <f t="shared" si="82"/>
        <v>-149.51522768080815</v>
      </c>
      <c r="U91" s="63" t="str">
        <f t="shared" si="67"/>
        <v>3.81949481964843E-15</v>
      </c>
      <c r="V91" s="63">
        <f t="shared" si="83"/>
        <v>-144.1799407466618</v>
      </c>
      <c r="W91" s="63">
        <f t="shared" si="68"/>
        <v>102.64873945531943</v>
      </c>
      <c r="X91" s="63" t="str">
        <f t="shared" si="69"/>
        <v>1603.046449684-1501.35006224489i</v>
      </c>
      <c r="Y91" s="90" t="str">
        <f t="shared" si="70"/>
        <v>1.6616815736756E-09-1.46260935128034E-09i</v>
      </c>
      <c r="Z91" s="90" t="str">
        <f t="shared" si="71"/>
        <v>1.603046449684E-10-1.50135006224489E-10i</v>
      </c>
      <c r="AA91" s="90" t="str">
        <f t="shared" si="72"/>
        <v>8.308407868378E-10-7.3130467564017E-10i</v>
      </c>
      <c r="AB91" s="90" t="str">
        <f t="shared" si="73"/>
        <v>8.86137197488648E-16-6.16297582203915E-33i</v>
      </c>
      <c r="AC91" s="90">
        <f t="shared" si="84"/>
        <v>-150.52499032628282</v>
      </c>
      <c r="AD91" s="90" t="str">
        <f t="shared" si="74"/>
        <v>8.57306989954194E-16</v>
      </c>
      <c r="AE91" s="63">
        <f t="shared" si="85"/>
        <v>-150.66863635288593</v>
      </c>
      <c r="AF91" s="63" t="str">
        <f t="shared" si="86"/>
        <v>6.07392180007644E-13</v>
      </c>
      <c r="AG91" s="63">
        <f t="shared" si="87"/>
        <v>-122.16530803793108</v>
      </c>
      <c r="AH91" s="116">
        <f t="shared" si="89"/>
        <v>-175</v>
      </c>
      <c r="AI91" s="63" t="str">
        <f t="shared" si="75"/>
        <v>1.89183147265979E-16+1.23259516440783E-32i</v>
      </c>
      <c r="AJ91" s="134">
        <f t="shared" si="88"/>
        <v>-157.23117553850594</v>
      </c>
      <c r="AK91" s="63">
        <f t="shared" si="76"/>
        <v>-121.87930720501697</v>
      </c>
      <c r="AL91" s="49">
        <f t="shared" si="77"/>
        <v>1.1181364331117914E-7</v>
      </c>
    </row>
    <row r="92" spans="1:38" x14ac:dyDescent="0.25">
      <c r="A92" s="49"/>
      <c r="B92" s="49"/>
      <c r="C92" s="49"/>
      <c r="D92" s="49"/>
      <c r="E92" s="68">
        <v>1584.8931924611177</v>
      </c>
      <c r="F92" s="61" t="str">
        <f t="shared" si="78"/>
        <v>9958177.62032064i</v>
      </c>
      <c r="G92" s="83" t="str">
        <f t="shared" si="57"/>
        <v>-511.927570268633-852.587237458618i</v>
      </c>
      <c r="H92" s="62" t="str">
        <f t="shared" si="58"/>
        <v>-0.0588615455659975+0.0353428325923305i</v>
      </c>
      <c r="I92" s="62" t="str">
        <f t="shared" si="59"/>
        <v>-4.88372631853799+3.18766204372501i</v>
      </c>
      <c r="J92" s="89" t="str">
        <f t="shared" si="60"/>
        <v>-12274.1429795696+8011.46852695482i</v>
      </c>
      <c r="K92" s="89" t="str">
        <f t="shared" si="61"/>
        <v>-0.553101664007484-14.7284529005702i</v>
      </c>
      <c r="L92" s="89" t="str">
        <f t="shared" si="62"/>
        <v>1.06104657898173-0.0398457755465626i</v>
      </c>
      <c r="M92" s="63">
        <f t="shared" si="79"/>
        <v>-171.02059991327963</v>
      </c>
      <c r="N92" s="63">
        <f t="shared" si="80"/>
        <v>-152.51029995663981</v>
      </c>
      <c r="O92" s="63" t="str">
        <f t="shared" si="63"/>
        <v>1.93499184074709E-14+1.57772181044202E-30i</v>
      </c>
      <c r="P92" s="63">
        <f t="shared" si="81"/>
        <v>-137.13320861924649</v>
      </c>
      <c r="Q92" s="63" t="str">
        <f t="shared" si="64"/>
        <v>2.17458192058882E-16</v>
      </c>
      <c r="R92" s="63">
        <f t="shared" si="65"/>
        <v>-156.6262422700093</v>
      </c>
      <c r="S92" s="63" t="str">
        <f t="shared" si="66"/>
        <v>6.35662511416566E-16+4.93038065763132E-32i</v>
      </c>
      <c r="T92" s="63">
        <f t="shared" si="82"/>
        <v>-151.96773400595663</v>
      </c>
      <c r="U92" s="63" t="str">
        <f t="shared" si="67"/>
        <v>2.61141386183328E-15</v>
      </c>
      <c r="V92" s="63">
        <f t="shared" si="83"/>
        <v>-145.83124294907384</v>
      </c>
      <c r="W92" s="63">
        <f t="shared" si="68"/>
        <v>102.64873945531943</v>
      </c>
      <c r="X92" s="63" t="str">
        <f t="shared" si="69"/>
        <v>1448.34265238189-1502.61777040814i</v>
      </c>
      <c r="Y92" s="90" t="str">
        <f t="shared" si="70"/>
        <v>1.51096974017135E-09-1.46384434760857E-09i</v>
      </c>
      <c r="Z92" s="90" t="str">
        <f t="shared" si="71"/>
        <v>1.44834265238189E-10-1.50261777040814E-10i</v>
      </c>
      <c r="AA92" s="90" t="str">
        <f t="shared" si="72"/>
        <v>7.55484870085675E-10-7.31922173804285E-10i</v>
      </c>
      <c r="AB92" s="90" t="str">
        <f t="shared" si="73"/>
        <v>6.0563465274702E-16-3.08148791101958E-33i</v>
      </c>
      <c r="AC92" s="90">
        <f t="shared" si="84"/>
        <v>-152.17789283662773</v>
      </c>
      <c r="AD92" s="90" t="str">
        <f t="shared" si="74"/>
        <v>6.48755317609715E-16+3.08148791101958E-33i</v>
      </c>
      <c r="AE92" s="63">
        <f t="shared" si="85"/>
        <v>-151.87919069376102</v>
      </c>
      <c r="AF92" s="63" t="str">
        <f t="shared" si="86"/>
        <v>5.46547236679872E-13</v>
      </c>
      <c r="AG92" s="63">
        <f t="shared" si="87"/>
        <v>-122.62372297130797</v>
      </c>
      <c r="AH92" s="116">
        <f t="shared" si="89"/>
        <v>-175</v>
      </c>
      <c r="AI92" s="63" t="str">
        <f t="shared" si="75"/>
        <v>1.07555299421666E-16</v>
      </c>
      <c r="AJ92" s="134">
        <f t="shared" si="88"/>
        <v>-159.68368186365441</v>
      </c>
      <c r="AK92" s="63">
        <f t="shared" si="76"/>
        <v>-122.43574141987837</v>
      </c>
      <c r="AL92" s="49">
        <f t="shared" si="77"/>
        <v>1.103700850399079E-7</v>
      </c>
    </row>
    <row r="93" spans="1:38" x14ac:dyDescent="0.25">
      <c r="A93" s="49"/>
      <c r="B93" s="49"/>
      <c r="C93" s="49"/>
      <c r="D93" s="49"/>
      <c r="E93" s="68">
        <v>1778.2794100389276</v>
      </c>
      <c r="F93" s="61" t="str">
        <f t="shared" si="78"/>
        <v>11173259.0612166i</v>
      </c>
      <c r="G93" s="83" t="str">
        <f t="shared" si="57"/>
        <v>-528.488075920819-666.750511229653i</v>
      </c>
      <c r="H93" s="62" t="str">
        <f t="shared" si="58"/>
        <v>-0.0410257180970146+0.0325183145047386i</v>
      </c>
      <c r="I93" s="62" t="str">
        <f t="shared" si="59"/>
        <v>-3.32665323709012+2.82556307059037i</v>
      </c>
      <c r="J93" s="89" t="str">
        <f t="shared" si="60"/>
        <v>-8360.79149654641+7101.41454785708i</v>
      </c>
      <c r="K93" s="89" t="str">
        <f t="shared" si="61"/>
        <v>-0.43695599241929-12.885955666381i</v>
      </c>
      <c r="L93" s="89" t="str">
        <f t="shared" si="62"/>
        <v>1.04158316546363-0.0353195383823796i</v>
      </c>
      <c r="M93" s="63">
        <f t="shared" si="79"/>
        <v>-171.52059991327963</v>
      </c>
      <c r="N93" s="63">
        <f t="shared" si="80"/>
        <v>-152.51029995663981</v>
      </c>
      <c r="O93" s="63" t="str">
        <f t="shared" si="63"/>
        <v>1.08216946337826E-14</v>
      </c>
      <c r="P93" s="63">
        <f t="shared" si="81"/>
        <v>-139.65704725137707</v>
      </c>
      <c r="Q93" s="63" t="str">
        <f t="shared" si="64"/>
        <v>1.21800397700327E-16</v>
      </c>
      <c r="R93" s="63">
        <f t="shared" si="65"/>
        <v>-159.14351293650799</v>
      </c>
      <c r="S93" s="63" t="str">
        <f t="shared" si="66"/>
        <v>3.56040606981419E-16</v>
      </c>
      <c r="T93" s="63">
        <f t="shared" si="82"/>
        <v>-154.48500467245532</v>
      </c>
      <c r="U93" s="63" t="str">
        <f t="shared" si="67"/>
        <v>1.78190607233934E-15-1.23259516440783E-32i</v>
      </c>
      <c r="V93" s="63">
        <f t="shared" si="83"/>
        <v>-147.49115192184567</v>
      </c>
      <c r="W93" s="63">
        <f t="shared" si="68"/>
        <v>102.64873945531943</v>
      </c>
      <c r="X93" s="63" t="str">
        <f t="shared" si="69"/>
        <v>1291.44038148803-1487.93819808055i</v>
      </c>
      <c r="Y93" s="90" t="str">
        <f t="shared" si="70"/>
        <v>1.35811616230335E-09-1.44954356573294E-09i</v>
      </c>
      <c r="Z93" s="90" t="str">
        <f t="shared" si="71"/>
        <v>1.29144038148803E-10-1.48793819808055E-10i</v>
      </c>
      <c r="AA93" s="90" t="str">
        <f t="shared" si="72"/>
        <v>6.79058081151675E-10-7.2477178286647E-10i</v>
      </c>
      <c r="AB93" s="90" t="str">
        <f t="shared" si="73"/>
        <v>4.13177176352952E-16</v>
      </c>
      <c r="AC93" s="90">
        <f t="shared" si="84"/>
        <v>-153.83863676643551</v>
      </c>
      <c r="AD93" s="90" t="str">
        <f t="shared" si="74"/>
        <v>4.96463119417902E-16</v>
      </c>
      <c r="AE93" s="63">
        <f t="shared" si="85"/>
        <v>-153.041130082526</v>
      </c>
      <c r="AF93" s="63" t="str">
        <f t="shared" si="86"/>
        <v>4.84347064712976E-13-5.04870979341448E-29i</v>
      </c>
      <c r="AG93" s="63">
        <f t="shared" si="87"/>
        <v>-123.14843327872693</v>
      </c>
      <c r="AH93" s="116">
        <f t="shared" si="89"/>
        <v>-175</v>
      </c>
      <c r="AI93" s="63" t="str">
        <f t="shared" si="75"/>
        <v>6.02427442273106E-17+6.16297582203915E-33i</v>
      </c>
      <c r="AJ93" s="134">
        <f t="shared" si="88"/>
        <v>-162.20095253015313</v>
      </c>
      <c r="AK93" s="63">
        <f t="shared" si="76"/>
        <v>-123.02423369735975</v>
      </c>
      <c r="AL93" s="49">
        <f t="shared" si="77"/>
        <v>1.0814393035826257E-7</v>
      </c>
    </row>
    <row r="94" spans="1:38" x14ac:dyDescent="0.25">
      <c r="A94" s="49"/>
      <c r="B94" s="49"/>
      <c r="C94" s="49"/>
      <c r="D94" s="49"/>
      <c r="E94" s="68">
        <v>1995.2623149688852</v>
      </c>
      <c r="F94" s="61" t="str">
        <f t="shared" si="78"/>
        <v>12536602.8613816i</v>
      </c>
      <c r="G94" s="83" t="str">
        <f t="shared" si="57"/>
        <v>-515.259448677437-500.982159355774i</v>
      </c>
      <c r="H94" s="62" t="str">
        <f t="shared" si="58"/>
        <v>-0.0274735698630192+0.0282565280947807i</v>
      </c>
      <c r="I94" s="62" t="str">
        <f t="shared" si="59"/>
        <v>-2.19059156720746+2.3880284255291i</v>
      </c>
      <c r="J94" s="89" t="str">
        <f t="shared" si="60"/>
        <v>-5505.55709964376+6001.77004656465i</v>
      </c>
      <c r="K94" s="89" t="str">
        <f t="shared" si="61"/>
        <v>-0.32913357411391-11.3280406848834i</v>
      </c>
      <c r="L94" s="89" t="str">
        <f t="shared" si="62"/>
        <v>1.02738239459009-0.0298503553191136i</v>
      </c>
      <c r="M94" s="63">
        <f t="shared" si="79"/>
        <v>-172.02059991327963</v>
      </c>
      <c r="N94" s="63">
        <f t="shared" si="80"/>
        <v>-152.51029995663981</v>
      </c>
      <c r="O94" s="63" t="str">
        <f t="shared" si="63"/>
        <v>5.95731175658752E-15</v>
      </c>
      <c r="P94" s="63">
        <f t="shared" si="81"/>
        <v>-142.2494967191343</v>
      </c>
      <c r="Q94" s="63" t="str">
        <f t="shared" si="64"/>
        <v>6.71413344091477E-17</v>
      </c>
      <c r="R94" s="63">
        <f t="shared" si="65"/>
        <v>-161.73010031560295</v>
      </c>
      <c r="S94" s="63" t="str">
        <f t="shared" si="66"/>
        <v>1.96264067342296E-16</v>
      </c>
      <c r="T94" s="63">
        <f t="shared" si="82"/>
        <v>-157.07159205155028</v>
      </c>
      <c r="U94" s="63" t="str">
        <f t="shared" si="67"/>
        <v>1.21144603825031E-15</v>
      </c>
      <c r="V94" s="63">
        <f t="shared" si="83"/>
        <v>-149.16695925985459</v>
      </c>
      <c r="W94" s="63">
        <f t="shared" si="68"/>
        <v>102.64873945531943</v>
      </c>
      <c r="X94" s="63" t="str">
        <f t="shared" si="69"/>
        <v>1136.44890252078-1457.06662849649i</v>
      </c>
      <c r="Y94" s="90" t="str">
        <f t="shared" si="70"/>
        <v>1.2071240704475E-09-1.41946860353869E-09i</v>
      </c>
      <c r="Z94" s="90" t="str">
        <f t="shared" si="71"/>
        <v>1.13644890252078E-10-1.45706662849649E-10i</v>
      </c>
      <c r="AA94" s="90" t="str">
        <f t="shared" si="72"/>
        <v>6.0356203522375E-10-7.09734301769345E-10i</v>
      </c>
      <c r="AB94" s="90" t="str">
        <f t="shared" si="73"/>
        <v>2.80895140612898E-16</v>
      </c>
      <c r="AC94" s="90">
        <f t="shared" si="84"/>
        <v>-155.51455773875171</v>
      </c>
      <c r="AD94" s="90" t="str">
        <f t="shared" si="74"/>
        <v>3.8355770061722E-16</v>
      </c>
      <c r="AE94" s="63">
        <f t="shared" si="85"/>
        <v>-154.16169293580234</v>
      </c>
      <c r="AF94" s="63" t="str">
        <f t="shared" si="86"/>
        <v>4.22241735126604E-13+2.52435489670724E-29i</v>
      </c>
      <c r="AG94" s="63">
        <f t="shared" si="87"/>
        <v>-123.74438842465155</v>
      </c>
      <c r="AH94" s="116">
        <f t="shared" si="89"/>
        <v>-175</v>
      </c>
      <c r="AI94" s="63" t="str">
        <f t="shared" si="75"/>
        <v>3.32082514692787E-17</v>
      </c>
      <c r="AJ94" s="134">
        <f t="shared" si="88"/>
        <v>-164.7875399092481</v>
      </c>
      <c r="AK94" s="63">
        <f t="shared" si="76"/>
        <v>-123.66156436219109</v>
      </c>
      <c r="AL94" s="49">
        <f t="shared" si="77"/>
        <v>1.0477775356605868E-7</v>
      </c>
    </row>
    <row r="95" spans="1:38" x14ac:dyDescent="0.25">
      <c r="A95" s="49"/>
      <c r="B95" s="49"/>
      <c r="C95" s="49"/>
      <c r="D95" s="49"/>
      <c r="E95" s="68">
        <v>2238.7211385683459</v>
      </c>
      <c r="F95" s="61" t="str">
        <f t="shared" si="78"/>
        <v>14066299.764725i</v>
      </c>
      <c r="G95" s="83" t="str">
        <f t="shared" si="57"/>
        <v>-479.811495083212-359.611958707529i</v>
      </c>
      <c r="H95" s="62" t="str">
        <f t="shared" si="58"/>
        <v>-0.017576279885022+0.0234511142508811i</v>
      </c>
      <c r="I95" s="62" t="str">
        <f t="shared" si="59"/>
        <v>-1.38488475464125+1.94271187838636i</v>
      </c>
      <c r="J95" s="89" t="str">
        <f t="shared" si="60"/>
        <v>-3480.59501699958+4882.56749214418i</v>
      </c>
      <c r="K95" s="89" t="str">
        <f t="shared" si="61"/>
        <v>-0.238638818096789-9.99715548397367i</v>
      </c>
      <c r="L95" s="89" t="str">
        <f t="shared" si="62"/>
        <v>1.01731105943302-0.0242838984798295i</v>
      </c>
      <c r="M95" s="63">
        <f t="shared" si="79"/>
        <v>-172.52059991327963</v>
      </c>
      <c r="N95" s="63">
        <f t="shared" si="80"/>
        <v>-152.51029995663981</v>
      </c>
      <c r="O95" s="63" t="str">
        <f t="shared" si="63"/>
        <v>3.22514148204391E-15</v>
      </c>
      <c r="P95" s="63">
        <f t="shared" si="81"/>
        <v>-144.9145122877346</v>
      </c>
      <c r="Q95" s="63" t="str">
        <f t="shared" si="64"/>
        <v>3.63924704875555E-17</v>
      </c>
      <c r="R95" s="63">
        <f t="shared" si="65"/>
        <v>-164.38988461514759</v>
      </c>
      <c r="S95" s="63" t="str">
        <f t="shared" si="66"/>
        <v>1.06380582712234E-16</v>
      </c>
      <c r="T95" s="63">
        <f t="shared" si="82"/>
        <v>-159.73137635109492</v>
      </c>
      <c r="U95" s="63" t="str">
        <f t="shared" si="67"/>
        <v>8.19444056131753E-16</v>
      </c>
      <c r="V95" s="63">
        <f t="shared" si="83"/>
        <v>-150.8648069058965</v>
      </c>
      <c r="W95" s="63">
        <f t="shared" si="68"/>
        <v>102.64873945531943</v>
      </c>
      <c r="X95" s="63" t="str">
        <f t="shared" si="69"/>
        <v>987.281341203894-1410.92756397776i</v>
      </c>
      <c r="Y95" s="90" t="str">
        <f t="shared" si="70"/>
        <v>1.06180561635989E-09-1.37452010756733E-09i</v>
      </c>
      <c r="Z95" s="90" t="str">
        <f t="shared" si="71"/>
        <v>9.87281341203894E-11-1.41092756397776E-10i</v>
      </c>
      <c r="AA95" s="90" t="str">
        <f t="shared" si="72"/>
        <v>5.30902808179945E-10-6.87260053783665E-10i</v>
      </c>
      <c r="AB95" s="90" t="str">
        <f t="shared" si="73"/>
        <v>1.90028889739688E-16+7.70371977754894E-34i</v>
      </c>
      <c r="AC95" s="90">
        <f t="shared" si="84"/>
        <v>-157.21180369043174</v>
      </c>
      <c r="AD95" s="90" t="str">
        <f t="shared" si="74"/>
        <v>2.98644778603325E-16</v>
      </c>
      <c r="AE95" s="63">
        <f t="shared" si="85"/>
        <v>-155.24845073897276</v>
      </c>
      <c r="AF95" s="63" t="str">
        <f t="shared" si="86"/>
        <v>3.61745475527213E-13</v>
      </c>
      <c r="AG95" s="63">
        <f t="shared" si="87"/>
        <v>-124.41596892042659</v>
      </c>
      <c r="AH95" s="116">
        <f t="shared" si="89"/>
        <v>-175</v>
      </c>
      <c r="AI95" s="63" t="str">
        <f t="shared" si="75"/>
        <v>1.79997958362648E-17</v>
      </c>
      <c r="AJ95" s="134">
        <f t="shared" si="88"/>
        <v>-167.44732420879274</v>
      </c>
      <c r="AK95" s="63">
        <f t="shared" si="76"/>
        <v>-124.35997709130231</v>
      </c>
      <c r="AL95" s="49">
        <f t="shared" si="77"/>
        <v>1.0009855543409121E-7</v>
      </c>
    </row>
    <row r="96" spans="1:38" x14ac:dyDescent="0.25">
      <c r="A96" s="49"/>
      <c r="B96" s="49"/>
      <c r="C96" s="49"/>
      <c r="D96" s="49"/>
      <c r="E96" s="68">
        <v>2511.886431509588</v>
      </c>
      <c r="F96" s="61" t="str">
        <f t="shared" si="78"/>
        <v>15782647.9197648i</v>
      </c>
      <c r="G96" s="83" t="str">
        <f t="shared" si="57"/>
        <v>-429.880296272938-244.214075354175i</v>
      </c>
      <c r="H96" s="62" t="str">
        <f t="shared" si="58"/>
        <v>-0.0106380866923943+0.0187257997004124i</v>
      </c>
      <c r="I96" s="62" t="str">
        <f t="shared" si="59"/>
        <v>-0.831241057282321+1.52990489042993i</v>
      </c>
      <c r="J96" s="89" t="str">
        <f t="shared" si="60"/>
        <v>-2089.13663913629+3845.0703715726i</v>
      </c>
      <c r="K96" s="89" t="str">
        <f t="shared" si="61"/>
        <v>-0.167493179464879-8.84936158415161i</v>
      </c>
      <c r="L96" s="89" t="str">
        <f t="shared" si="62"/>
        <v>1.01039051321603-0.0191238111303741i</v>
      </c>
      <c r="M96" s="63">
        <f t="shared" si="79"/>
        <v>-173.02059991327963</v>
      </c>
      <c r="N96" s="63">
        <f t="shared" si="80"/>
        <v>-152.51029995663981</v>
      </c>
      <c r="O96" s="63" t="str">
        <f t="shared" si="63"/>
        <v>1.71586106488828E-15</v>
      </c>
      <c r="P96" s="63">
        <f t="shared" si="81"/>
        <v>-147.65517880353946</v>
      </c>
      <c r="Q96" s="63" t="str">
        <f t="shared" si="64"/>
        <v>1.93825831576116E-17+1.54074395550979E-33i</v>
      </c>
      <c r="R96" s="63">
        <f t="shared" si="65"/>
        <v>-167.12588344089301</v>
      </c>
      <c r="S96" s="63" t="str">
        <f t="shared" si="66"/>
        <v>5.66581620634998E-17</v>
      </c>
      <c r="T96" s="63">
        <f t="shared" si="82"/>
        <v>-162.46737517684033</v>
      </c>
      <c r="U96" s="63" t="str">
        <f t="shared" si="67"/>
        <v>5.50911392770774E-16</v>
      </c>
      <c r="V96" s="63">
        <f t="shared" si="83"/>
        <v>-152.58918246384494</v>
      </c>
      <c r="W96" s="63">
        <f t="shared" si="68"/>
        <v>102.64873945531943</v>
      </c>
      <c r="X96" s="63" t="str">
        <f t="shared" si="69"/>
        <v>847.274678536257-1351.44429505532i</v>
      </c>
      <c r="Y96" s="90" t="str">
        <f t="shared" si="70"/>
        <v>9.25411673861865E-10-1.31657173992241E-09i</v>
      </c>
      <c r="Z96" s="90" t="str">
        <f t="shared" si="71"/>
        <v>8.47274678536257E-11-1.35144429505532E-10i</v>
      </c>
      <c r="AA96" s="90" t="str">
        <f t="shared" si="72"/>
        <v>4.62705836930933E-10-6.58285869961205E-10i</v>
      </c>
      <c r="AB96" s="90" t="str">
        <f t="shared" si="73"/>
        <v>1.27795908811345E-16+3.85185988877447E-34i</v>
      </c>
      <c r="AC96" s="90">
        <f t="shared" si="84"/>
        <v>-158.93483049222201</v>
      </c>
      <c r="AD96" s="90" t="str">
        <f t="shared" si="74"/>
        <v>2.33955937888458E-16+7.70371977754894E-34i</v>
      </c>
      <c r="AE96" s="63">
        <f t="shared" si="85"/>
        <v>-156.30865927776927</v>
      </c>
      <c r="AF96" s="63" t="str">
        <f t="shared" si="86"/>
        <v>3.04311045419901E-13</v>
      </c>
      <c r="AG96" s="63">
        <f t="shared" si="87"/>
        <v>-125.16682283994591</v>
      </c>
      <c r="AH96" s="116">
        <f t="shared" si="89"/>
        <v>-175</v>
      </c>
      <c r="AI96" s="63" t="str">
        <f t="shared" si="75"/>
        <v>9.586668202032E-18+7.70371977754894E-34i</v>
      </c>
      <c r="AJ96" s="134">
        <f t="shared" si="88"/>
        <v>-170.18332303453815</v>
      </c>
      <c r="AK96" s="63">
        <f t="shared" si="76"/>
        <v>-125.12825981106509</v>
      </c>
      <c r="AL96" s="49">
        <f t="shared" si="77"/>
        <v>9.410214825924997E-8</v>
      </c>
    </row>
    <row r="97" spans="1:38" x14ac:dyDescent="0.25">
      <c r="A97" s="49"/>
      <c r="B97" s="49"/>
      <c r="C97" s="49"/>
      <c r="D97" s="49"/>
      <c r="E97" s="68">
        <v>2818.382931264463</v>
      </c>
      <c r="F97" s="61" t="str">
        <f t="shared" si="78"/>
        <v>17708422.2237266i</v>
      </c>
      <c r="G97" s="83" t="str">
        <f t="shared" si="57"/>
        <v>-372.461712172859-154.052584756132i</v>
      </c>
      <c r="H97" s="62" t="str">
        <f t="shared" si="58"/>
        <v>-0.00598083503328354+0.014460205651509i</v>
      </c>
      <c r="I97" s="62" t="str">
        <f t="shared" si="59"/>
        <v>-0.464317686304878+1.17053133617528i</v>
      </c>
      <c r="J97" s="89" t="str">
        <f t="shared" si="60"/>
        <v>-1166.95762578178+2941.86611721993i</v>
      </c>
      <c r="K97" s="89" t="str">
        <f t="shared" si="61"/>
        <v>-0.114213052412925-7.85119974942735i</v>
      </c>
      <c r="L97" s="89" t="str">
        <f t="shared" si="62"/>
        <v>1.00580397107881-0.0146316417021909i</v>
      </c>
      <c r="M97" s="63">
        <f t="shared" si="79"/>
        <v>-173.52059991327963</v>
      </c>
      <c r="N97" s="63">
        <f t="shared" si="80"/>
        <v>-152.51029995663981</v>
      </c>
      <c r="O97" s="63" t="str">
        <f t="shared" si="63"/>
        <v>8.96661396722706E-16</v>
      </c>
      <c r="P97" s="63">
        <f t="shared" si="81"/>
        <v>-150.47371527186743</v>
      </c>
      <c r="Q97" s="63" t="str">
        <f t="shared" si="64"/>
        <v>1.01385171611879E-17-7.70371977754894E-34i</v>
      </c>
      <c r="R97" s="63">
        <f t="shared" si="65"/>
        <v>-169.9402555938193</v>
      </c>
      <c r="S97" s="63" t="str">
        <f t="shared" si="66"/>
        <v>2.96363876646945E-17</v>
      </c>
      <c r="T97" s="63">
        <f t="shared" si="82"/>
        <v>-165.28174732976666</v>
      </c>
      <c r="U97" s="63" t="str">
        <f t="shared" si="67"/>
        <v>3.67896915877737E-16</v>
      </c>
      <c r="V97" s="63">
        <f t="shared" si="83"/>
        <v>-154.34273852894327</v>
      </c>
      <c r="W97" s="63">
        <f t="shared" si="68"/>
        <v>102.64873945531943</v>
      </c>
      <c r="X97" s="63" t="str">
        <f t="shared" si="69"/>
        <v>718.925858874074-1281.2399669104i</v>
      </c>
      <c r="Y97" s="90" t="str">
        <f t="shared" si="70"/>
        <v>8.00374756367082E-10-1.24817895836713E-09i</v>
      </c>
      <c r="Z97" s="90" t="str">
        <f t="shared" si="71"/>
        <v>7.18925858874074E-11-1.2812399669104E-10i</v>
      </c>
      <c r="AA97" s="90" t="str">
        <f t="shared" si="72"/>
        <v>4.00187378183541E-10-6.24089479183565E-10i</v>
      </c>
      <c r="AB97" s="90" t="str">
        <f t="shared" si="73"/>
        <v>8.5384302386793E-17-1.92592994438724E-34i</v>
      </c>
      <c r="AC97" s="90">
        <f t="shared" si="84"/>
        <v>-160.68621965533865</v>
      </c>
      <c r="AD97" s="90" t="str">
        <f t="shared" si="74"/>
        <v>1.84127471005723E-16</v>
      </c>
      <c r="AE97" s="63">
        <f t="shared" si="85"/>
        <v>-157.3488141184273</v>
      </c>
      <c r="AF97" s="63" t="str">
        <f t="shared" si="86"/>
        <v>2.51194213834426E-13</v>
      </c>
      <c r="AG97" s="63">
        <f t="shared" si="87"/>
        <v>-125.99990368631981</v>
      </c>
      <c r="AH97" s="116">
        <f t="shared" si="89"/>
        <v>-175</v>
      </c>
      <c r="AI97" s="63" t="str">
        <f t="shared" si="75"/>
        <v>5.01453285635696E-18</v>
      </c>
      <c r="AJ97" s="134">
        <f t="shared" si="88"/>
        <v>-172.9976951874645</v>
      </c>
      <c r="AK97" s="63">
        <f t="shared" si="76"/>
        <v>-125.97269191128683</v>
      </c>
      <c r="AL97" s="49">
        <f t="shared" si="77"/>
        <v>8.6927327536696516E-8</v>
      </c>
    </row>
    <row r="98" spans="1:38" x14ac:dyDescent="0.25">
      <c r="A98" s="49"/>
      <c r="B98" s="49"/>
      <c r="C98" s="49"/>
      <c r="D98" s="49"/>
      <c r="E98" s="68">
        <v>3162.277660168389</v>
      </c>
      <c r="F98" s="61" t="str">
        <f t="shared" si="78"/>
        <v>19869176.5315923i</v>
      </c>
      <c r="G98" s="83" t="str">
        <f t="shared" si="57"/>
        <v>-313.256381019068-86.7463763208784i</v>
      </c>
      <c r="H98" s="62" t="str">
        <f t="shared" si="58"/>
        <v>-0.00300154028154001+0.0108390884548324i</v>
      </c>
      <c r="I98" s="62" t="str">
        <f t="shared" si="59"/>
        <v>-0.231363241783111+0.872252945380727i</v>
      </c>
      <c r="J98" s="89" t="str">
        <f t="shared" si="60"/>
        <v>-581.479248557233+2192.21075622412i</v>
      </c>
      <c r="K98" s="89" t="str">
        <f t="shared" si="61"/>
        <v>-0.0758534150878221-6.97713080966946i</v>
      </c>
      <c r="L98" s="89" t="str">
        <f t="shared" si="62"/>
        <v>1.00289204052229-0.0109031618172591i</v>
      </c>
      <c r="M98" s="63">
        <f t="shared" si="79"/>
        <v>-174.02059991327963</v>
      </c>
      <c r="N98" s="63">
        <f t="shared" si="80"/>
        <v>-152.51029995663981</v>
      </c>
      <c r="O98" s="63" t="str">
        <f t="shared" si="63"/>
        <v>4.60086853401317E-16-2.46519032881566E-32i</v>
      </c>
      <c r="P98" s="63">
        <f t="shared" si="81"/>
        <v>-153.37160176161058</v>
      </c>
      <c r="Q98" s="63" t="str">
        <f t="shared" si="64"/>
        <v>5.20663667860019E-18</v>
      </c>
      <c r="R98" s="63">
        <f t="shared" si="65"/>
        <v>-172.83442726527159</v>
      </c>
      <c r="S98" s="63" t="str">
        <f t="shared" si="66"/>
        <v>1.52197703651304E-17</v>
      </c>
      <c r="T98" s="63">
        <f t="shared" si="82"/>
        <v>-168.17591900121892</v>
      </c>
      <c r="U98" s="63" t="str">
        <f t="shared" si="67"/>
        <v>2.43984471516661E-16+3.85185988877447E-34i</v>
      </c>
      <c r="V98" s="63">
        <f t="shared" si="83"/>
        <v>-156.12637813617138</v>
      </c>
      <c r="W98" s="63">
        <f t="shared" si="68"/>
        <v>102.64873945531943</v>
      </c>
      <c r="X98" s="63" t="str">
        <f t="shared" si="69"/>
        <v>603.780433918859-1203.28425298696i</v>
      </c>
      <c r="Y98" s="90" t="str">
        <f t="shared" si="70"/>
        <v>6.88200534290702E-10-1.17223480714122E-09i</v>
      </c>
      <c r="Z98" s="90" t="str">
        <f t="shared" si="71"/>
        <v>6.03780433918859E-11-1.20328425298696E-10i</v>
      </c>
      <c r="AA98" s="90" t="str">
        <f t="shared" si="72"/>
        <v>3.44100267145351E-10-5.8611740357061E-10i</v>
      </c>
      <c r="AB98" s="90" t="str">
        <f t="shared" si="73"/>
        <v>5.66661862471147E-17</v>
      </c>
      <c r="AC98" s="90">
        <f t="shared" si="84"/>
        <v>-162.46676015302182</v>
      </c>
      <c r="AD98" s="90" t="str">
        <f t="shared" si="74"/>
        <v>1.45398423338065E-16</v>
      </c>
      <c r="AE98" s="63">
        <f t="shared" si="85"/>
        <v>-158.3744030282561</v>
      </c>
      <c r="AF98" s="63" t="str">
        <f t="shared" si="86"/>
        <v>2.03346185769109E-13</v>
      </c>
      <c r="AG98" s="63">
        <f t="shared" si="87"/>
        <v>-126.91763969386585</v>
      </c>
      <c r="AH98" s="116">
        <f t="shared" si="89"/>
        <v>-175</v>
      </c>
      <c r="AI98" s="63" t="str">
        <f t="shared" si="75"/>
        <v>2.57521393719228E-18</v>
      </c>
      <c r="AJ98" s="134">
        <f t="shared" si="88"/>
        <v>-175.89186685891673</v>
      </c>
      <c r="AK98" s="63">
        <f t="shared" si="76"/>
        <v>-126.8978409343238</v>
      </c>
      <c r="AL98" s="49">
        <f t="shared" si="77"/>
        <v>7.8820906582799978E-8</v>
      </c>
    </row>
    <row r="99" spans="1:38" x14ac:dyDescent="0.25">
      <c r="A99" s="49"/>
      <c r="B99" s="49"/>
      <c r="C99" s="49"/>
      <c r="D99" s="49"/>
      <c r="E99" s="68">
        <v>3548.1338923357671</v>
      </c>
      <c r="F99" s="61" t="str">
        <f t="shared" si="78"/>
        <v>22293582.74023i</v>
      </c>
      <c r="G99" s="83" t="str">
        <f t="shared" si="57"/>
        <v>-256.459037393747-38.9649799323956i</v>
      </c>
      <c r="H99" s="62" t="str">
        <f t="shared" si="58"/>
        <v>-0.00120162039523512+0.00790880453189922i</v>
      </c>
      <c r="I99" s="62" t="str">
        <f t="shared" si="59"/>
        <v>-0.0912235797128873+0.634187885109746i</v>
      </c>
      <c r="J99" s="89" t="str">
        <f t="shared" si="60"/>
        <v>-229.269862288136+1593.88800068514i</v>
      </c>
      <c r="K99" s="89" t="str">
        <f t="shared" si="61"/>
        <v>-0.0491530685417201-6.20751278073155i</v>
      </c>
      <c r="L99" s="89" t="str">
        <f t="shared" si="62"/>
        <v>1.00114029474641-0.00792734856387182i</v>
      </c>
      <c r="M99" s="63">
        <f t="shared" si="79"/>
        <v>-174.52059991327963</v>
      </c>
      <c r="N99" s="63">
        <f t="shared" si="80"/>
        <v>-152.51029995663981</v>
      </c>
      <c r="O99" s="63" t="str">
        <f t="shared" si="63"/>
        <v>2.31752945583156E-16</v>
      </c>
      <c r="P99" s="63">
        <f t="shared" si="81"/>
        <v>-156.34974737259492</v>
      </c>
      <c r="Q99" s="63" t="str">
        <f t="shared" si="64"/>
        <v>2.62466611175586E-18</v>
      </c>
      <c r="R99" s="63">
        <f t="shared" si="65"/>
        <v>-175.80925936084626</v>
      </c>
      <c r="S99" s="63" t="str">
        <f t="shared" si="66"/>
        <v>7.67228788408635E-18-1.92592994438724E-34i</v>
      </c>
      <c r="T99" s="63">
        <f t="shared" si="82"/>
        <v>-171.15075109679361</v>
      </c>
      <c r="U99" s="63" t="str">
        <f t="shared" si="67"/>
        <v>1.60711735945671E-16-1.92592994438724E-34i</v>
      </c>
      <c r="V99" s="63">
        <f t="shared" si="83"/>
        <v>-157.93952407802044</v>
      </c>
      <c r="W99" s="63">
        <f t="shared" si="68"/>
        <v>102.64873945531943</v>
      </c>
      <c r="X99" s="63" t="str">
        <f t="shared" si="69"/>
        <v>502.466399968245-1120.56035827946i</v>
      </c>
      <c r="Y99" s="90" t="str">
        <f t="shared" si="70"/>
        <v>5.89500799166615E-10-1.0916455128679E-09i</v>
      </c>
      <c r="Z99" s="90" t="str">
        <f t="shared" si="71"/>
        <v>5.02466399968245E-11-1.12056035827946E-10i</v>
      </c>
      <c r="AA99" s="90" t="str">
        <f t="shared" si="72"/>
        <v>2.94750399583308E-10-5.4582275643395E-10i</v>
      </c>
      <c r="AB99" s="90" t="str">
        <f t="shared" si="73"/>
        <v>3.73618872175349E-17</v>
      </c>
      <c r="AC99" s="90">
        <f t="shared" si="84"/>
        <v>-164.27571194876066</v>
      </c>
      <c r="AD99" s="90" t="str">
        <f t="shared" si="74"/>
        <v>1.15084573474617E-16+1.92592994438724E-34i</v>
      </c>
      <c r="AE99" s="63">
        <f t="shared" si="85"/>
        <v>-159.3898288752448</v>
      </c>
      <c r="AF99" s="63" t="str">
        <f t="shared" si="86"/>
        <v>1.61355741529848E-13+3.15544362088405E-30i</v>
      </c>
      <c r="AG99" s="63">
        <f t="shared" si="87"/>
        <v>-127.92215576461707</v>
      </c>
      <c r="AH99" s="116">
        <f t="shared" si="89"/>
        <v>-175</v>
      </c>
      <c r="AI99" s="63" t="str">
        <f t="shared" si="75"/>
        <v>1.29816562374142E-18</v>
      </c>
      <c r="AJ99" s="134">
        <f t="shared" si="88"/>
        <v>-178.86669895449137</v>
      </c>
      <c r="AK99" s="63">
        <f t="shared" si="76"/>
        <v>-127.90720297959668</v>
      </c>
      <c r="AL99" s="49">
        <f t="shared" si="77"/>
        <v>7.0097934489103977E-8</v>
      </c>
    </row>
    <row r="100" spans="1:38" x14ac:dyDescent="0.25">
      <c r="A100" s="49"/>
      <c r="B100" s="49"/>
      <c r="C100" s="49"/>
      <c r="D100" s="49"/>
      <c r="E100" s="68">
        <v>3981.0717055349869</v>
      </c>
      <c r="F100" s="61" t="str">
        <f t="shared" si="78"/>
        <v>25013811.2470458i</v>
      </c>
      <c r="G100" s="83" t="str">
        <f t="shared" si="57"/>
        <v>-204.811291976164-7.02529054533819i</v>
      </c>
      <c r="H100" s="62" t="str">
        <f t="shared" si="58"/>
        <v>-0.000193088818102056+0.00562920067809507i</v>
      </c>
      <c r="I100" s="62" t="str">
        <f t="shared" si="59"/>
        <v>-0.0129136680442+0.450495733565271i</v>
      </c>
      <c r="J100" s="89" t="str">
        <f t="shared" si="60"/>
        <v>-32.4555877268448+1132.21926963377i</v>
      </c>
      <c r="K100" s="89" t="str">
        <f t="shared" si="61"/>
        <v>-0.0311188383163778-5.52704218517844i</v>
      </c>
      <c r="L100" s="89" t="str">
        <f t="shared" si="62"/>
        <v>1.00016142085055-0.00563119666956588i</v>
      </c>
      <c r="M100" s="63">
        <f t="shared" si="79"/>
        <v>-175.02059991327963</v>
      </c>
      <c r="N100" s="63">
        <f t="shared" si="80"/>
        <v>-152.51029995663981</v>
      </c>
      <c r="O100" s="63" t="str">
        <f t="shared" si="63"/>
        <v>1.1458762266719E-16</v>
      </c>
      <c r="P100" s="63">
        <f t="shared" si="81"/>
        <v>-159.40862290725048</v>
      </c>
      <c r="Q100" s="63" t="str">
        <f t="shared" si="64"/>
        <v>1.29861986214015E-18</v>
      </c>
      <c r="R100" s="63">
        <f t="shared" si="65"/>
        <v>-178.86517958962185</v>
      </c>
      <c r="S100" s="63" t="str">
        <f t="shared" si="66"/>
        <v>3.79605824516337E-18-2.40741243048404E-35i</v>
      </c>
      <c r="T100" s="63">
        <f t="shared" si="82"/>
        <v>-174.20667132556918</v>
      </c>
      <c r="U100" s="63" t="str">
        <f t="shared" si="67"/>
        <v>1.05184494814404E-16</v>
      </c>
      <c r="V100" s="63">
        <f t="shared" si="83"/>
        <v>-159.7804827456284</v>
      </c>
      <c r="W100" s="63">
        <f t="shared" si="68"/>
        <v>102.64873945531943</v>
      </c>
      <c r="X100" s="63" t="str">
        <f t="shared" si="69"/>
        <v>414.833964866009-1035.80529952065i</v>
      </c>
      <c r="Y100" s="90" t="str">
        <f t="shared" si="70"/>
        <v>5.04129624062823E-10-1.00907746652993E-09i</v>
      </c>
      <c r="Z100" s="90" t="str">
        <f t="shared" si="71"/>
        <v>4.14833964866009E-11-1.03580529952065E-10i</v>
      </c>
      <c r="AA100" s="90" t="str">
        <f t="shared" si="72"/>
        <v>2.52064812031412E-10-5.04538733264965E-10i</v>
      </c>
      <c r="AB100" s="90" t="str">
        <f t="shared" si="73"/>
        <v>2.44840826201276E-17</v>
      </c>
      <c r="AC100" s="90">
        <f t="shared" si="84"/>
        <v>-166.11116163668643</v>
      </c>
      <c r="AD100" s="90" t="str">
        <f t="shared" si="74"/>
        <v>9.12334218457254E-17</v>
      </c>
      <c r="AE100" s="63">
        <f t="shared" si="85"/>
        <v>-160.39846035967653</v>
      </c>
      <c r="AF100" s="63" t="str">
        <f t="shared" si="86"/>
        <v>1.25444756834218E-13</v>
      </c>
      <c r="AG100" s="63">
        <f t="shared" si="87"/>
        <v>-129.01547486007826</v>
      </c>
      <c r="AH100" s="116">
        <f t="shared" si="89"/>
        <v>-175</v>
      </c>
      <c r="AI100" s="63" t="str">
        <f t="shared" si="75"/>
        <v>6.42300236128069E-19</v>
      </c>
      <c r="AJ100" s="134">
        <f t="shared" si="88"/>
        <v>-181.92261918326707</v>
      </c>
      <c r="AK100" s="63">
        <f t="shared" si="76"/>
        <v>-129.00367750434438</v>
      </c>
      <c r="AL100" s="49">
        <f t="shared" si="77"/>
        <v>6.1102329623665676E-8</v>
      </c>
    </row>
    <row r="101" spans="1:38" x14ac:dyDescent="0.25">
      <c r="A101" s="49"/>
      <c r="B101" s="49"/>
      <c r="C101" s="49"/>
      <c r="D101" s="49"/>
      <c r="E101" s="68">
        <v>4466.8359215096471</v>
      </c>
      <c r="F101" s="61" t="str">
        <f t="shared" si="78"/>
        <v>28065957.8316114i</v>
      </c>
      <c r="G101" s="83" t="str">
        <f t="shared" si="57"/>
        <v>-159.812723340823+12.6704416000706i</v>
      </c>
      <c r="H101" s="62" t="str">
        <f t="shared" si="58"/>
        <v>0.00031037346568793+0.00391475138514835i</v>
      </c>
      <c r="I101" s="62" t="str">
        <f t="shared" si="59"/>
        <v>0.0260470357579445+0.312981002144225i</v>
      </c>
      <c r="J101" s="89" t="str">
        <f t="shared" si="60"/>
        <v>65.4633409479591+786.607053639573i</v>
      </c>
      <c r="K101" s="89" t="str">
        <f t="shared" si="61"/>
        <v>-0.0192686226004408-4.92358292348774i</v>
      </c>
      <c r="L101" s="89" t="str">
        <f t="shared" si="62"/>
        <v>0.999674412053024-0.0039122625268028i</v>
      </c>
      <c r="M101" s="63">
        <f t="shared" si="79"/>
        <v>-175.52059991327963</v>
      </c>
      <c r="N101" s="63">
        <f t="shared" si="80"/>
        <v>-152.51029995663981</v>
      </c>
      <c r="O101" s="63" t="str">
        <f t="shared" si="63"/>
        <v>5.56121341995031E-17</v>
      </c>
      <c r="P101" s="63">
        <f t="shared" si="81"/>
        <v>-162.54830437897706</v>
      </c>
      <c r="Q101" s="63" t="str">
        <f t="shared" si="64"/>
        <v>6.30634107134374E-19</v>
      </c>
      <c r="R101" s="63">
        <f t="shared" si="65"/>
        <v>-182.0022254462572</v>
      </c>
      <c r="S101" s="63" t="str">
        <f t="shared" si="66"/>
        <v>1.84343692242891E-18</v>
      </c>
      <c r="T101" s="63">
        <f t="shared" si="82"/>
        <v>-177.3437171822045</v>
      </c>
      <c r="U101" s="63" t="str">
        <f t="shared" si="67"/>
        <v>6.8441191120833E-17+4.81482486096809E-35i</v>
      </c>
      <c r="V101" s="63">
        <f t="shared" si="83"/>
        <v>-161.64682440792194</v>
      </c>
      <c r="W101" s="63">
        <f t="shared" si="68"/>
        <v>102.64873945531943</v>
      </c>
      <c r="X101" s="63" t="str">
        <f t="shared" si="69"/>
        <v>340.149864136741-951.345866057554i</v>
      </c>
      <c r="Y101" s="90" t="str">
        <f t="shared" si="70"/>
        <v>4.3137266559888E-10-9.26797417197366E-10i</v>
      </c>
      <c r="Z101" s="90" t="str">
        <f t="shared" si="71"/>
        <v>3.40149864136741E-11-9.51345866057554E-11i</v>
      </c>
      <c r="AA101" s="90" t="str">
        <f t="shared" si="72"/>
        <v>2.1568633279944E-10-4.63398708598683E-10i</v>
      </c>
      <c r="AB101" s="90" t="str">
        <f t="shared" si="73"/>
        <v>1.59573519190317E-17</v>
      </c>
      <c r="AC101" s="90">
        <f t="shared" si="84"/>
        <v>-167.97039177043592</v>
      </c>
      <c r="AD101" s="90" t="str">
        <f t="shared" si="74"/>
        <v>7.23975389707244E-17</v>
      </c>
      <c r="AE101" s="63">
        <f t="shared" si="85"/>
        <v>-161.40276196642634</v>
      </c>
      <c r="AF101" s="63" t="str">
        <f t="shared" si="86"/>
        <v>9.55069748613418E-14</v>
      </c>
      <c r="AG101" s="63">
        <f t="shared" si="87"/>
        <v>-130.19964910791322</v>
      </c>
      <c r="AH101" s="116">
        <f t="shared" si="89"/>
        <v>-175</v>
      </c>
      <c r="AI101" s="63" t="str">
        <f t="shared" si="75"/>
        <v>3.11913014525507E-19</v>
      </c>
      <c r="AJ101" s="134">
        <f t="shared" si="88"/>
        <v>-185.05966503990234</v>
      </c>
      <c r="AK101" s="63">
        <f t="shared" si="76"/>
        <v>-130.18987468846638</v>
      </c>
      <c r="AL101" s="49">
        <f t="shared" si="77"/>
        <v>5.2172067838679115E-8</v>
      </c>
    </row>
    <row r="102" spans="1:38" x14ac:dyDescent="0.25">
      <c r="D102" s="49"/>
      <c r="E102" s="68">
        <v>5011.8723362727405</v>
      </c>
      <c r="F102" s="61" t="str">
        <f t="shared" si="78"/>
        <v>31490522.6247287i</v>
      </c>
      <c r="G102" s="83" t="str">
        <f t="shared" si="57"/>
        <v>-121.997429792323+23.3590999912216i</v>
      </c>
      <c r="H102" s="62" t="str">
        <f t="shared" si="58"/>
        <v>0.000509975062508295+0.00266344366467765i</v>
      </c>
      <c r="I102" s="62" t="str">
        <f t="shared" si="59"/>
        <v>0.0413438528273754+0.212856824478956i</v>
      </c>
      <c r="J102" s="89" t="str">
        <f t="shared" si="60"/>
        <v>103.908435450864+534.967548839633i</v>
      </c>
      <c r="K102" s="89" t="str">
        <f t="shared" si="61"/>
        <v>-0.0116793930100871-4.38730856756521i</v>
      </c>
      <c r="L102" s="89" t="str">
        <f t="shared" si="62"/>
        <v>0.999483201839656-0.00266071030598695i</v>
      </c>
      <c r="M102" s="63">
        <f t="shared" si="79"/>
        <v>-176.02059991327963</v>
      </c>
      <c r="N102" s="63">
        <f t="shared" si="80"/>
        <v>-152.51029995663981</v>
      </c>
      <c r="O102" s="63" t="str">
        <f t="shared" si="63"/>
        <v>2.64947059933119E-17</v>
      </c>
      <c r="P102" s="63">
        <f t="shared" si="81"/>
        <v>-165.76840895405766</v>
      </c>
      <c r="Q102" s="63" t="str">
        <f t="shared" si="64"/>
        <v>3.00609036894567E-19-1.20370621524202E-35i</v>
      </c>
      <c r="R102" s="63">
        <f t="shared" si="65"/>
        <v>-185.21997967812811</v>
      </c>
      <c r="S102" s="63" t="str">
        <f t="shared" si="66"/>
        <v>8.78724749514952E-19</v>
      </c>
      <c r="T102" s="63">
        <f t="shared" si="82"/>
        <v>-180.56147141407541</v>
      </c>
      <c r="U102" s="63" t="str">
        <f t="shared" si="67"/>
        <v>4.43024266875729E-17</v>
      </c>
      <c r="V102" s="63">
        <f t="shared" si="83"/>
        <v>-163.53572484427997</v>
      </c>
      <c r="W102" s="63">
        <f t="shared" si="68"/>
        <v>102.64873945531943</v>
      </c>
      <c r="X102" s="63" t="str">
        <f t="shared" si="69"/>
        <v>277.300073734128-869.026163035097i</v>
      </c>
      <c r="Y102" s="90" t="str">
        <f t="shared" si="70"/>
        <v>3.70144645911439E-10-8.46601884880782E-10i</v>
      </c>
      <c r="Z102" s="90" t="str">
        <f t="shared" si="71"/>
        <v>2.77300073734128E-11-8.69026163035097E-11i</v>
      </c>
      <c r="AA102" s="90" t="str">
        <f t="shared" si="72"/>
        <v>1.85072322955719E-10-4.23300942440391E-10i</v>
      </c>
      <c r="AB102" s="90" t="str">
        <f t="shared" si="73"/>
        <v>1.03509250295329E-17-6.01853107621011E-36i</v>
      </c>
      <c r="AC102" s="90">
        <f t="shared" si="84"/>
        <v>-169.85020836944233</v>
      </c>
      <c r="AD102" s="90" t="str">
        <f t="shared" si="74"/>
        <v>5.74849392181436E-17</v>
      </c>
      <c r="AE102" s="63">
        <f t="shared" si="85"/>
        <v>-162.40445923505322</v>
      </c>
      <c r="AF102" s="63" t="str">
        <f t="shared" si="86"/>
        <v>7.11736499884834E-14+1.57772181044202E-30i</v>
      </c>
      <c r="AG102" s="63">
        <f t="shared" si="87"/>
        <v>-131.47680761737911</v>
      </c>
      <c r="AH102" s="116">
        <f t="shared" si="89"/>
        <v>-175</v>
      </c>
      <c r="AI102" s="63" t="str">
        <f t="shared" si="75"/>
        <v>1.48681889911505E-19</v>
      </c>
      <c r="AJ102" s="134">
        <f t="shared" si="88"/>
        <v>-188.27741927177325</v>
      </c>
      <c r="AK102" s="63">
        <f t="shared" si="76"/>
        <v>-131.46827572272647</v>
      </c>
      <c r="AL102" s="49">
        <f t="shared" si="77"/>
        <v>4.3611190968542087E-8</v>
      </c>
    </row>
    <row r="103" spans="1:38" x14ac:dyDescent="0.25">
      <c r="D103" s="49"/>
      <c r="E103" s="68">
        <v>5623.413251903512</v>
      </c>
      <c r="F103" s="61" t="str">
        <f t="shared" si="78"/>
        <v>35332947.5205591i</v>
      </c>
      <c r="G103" s="83" t="str">
        <f t="shared" si="57"/>
        <v>-91.2121199898733+27.7760181537381i</v>
      </c>
      <c r="H103" s="62" t="str">
        <f t="shared" si="58"/>
        <v>0.000540459084812656+0.0017747835064298i</v>
      </c>
      <c r="I103" s="62" t="str">
        <f t="shared" si="59"/>
        <v>0.0434649513264475+0.141828886925235i</v>
      </c>
      <c r="J103" s="89" t="str">
        <f t="shared" si="60"/>
        <v>109.239337420644+356.454871384907i</v>
      </c>
      <c r="K103" s="89" t="str">
        <f t="shared" si="61"/>
        <v>-0.0069358132076168-3.91008914931557i</v>
      </c>
      <c r="L103" s="89" t="str">
        <f t="shared" si="62"/>
        <v>0.999456688108422-0.00177286108656544i</v>
      </c>
      <c r="M103" s="63">
        <f t="shared" si="79"/>
        <v>-176.52059991327963</v>
      </c>
      <c r="N103" s="63">
        <f t="shared" si="80"/>
        <v>-152.51029995663981</v>
      </c>
      <c r="O103" s="63" t="str">
        <f t="shared" si="63"/>
        <v>1.23938324943223E-17</v>
      </c>
      <c r="P103" s="63">
        <f t="shared" si="81"/>
        <v>-169.06794377742827</v>
      </c>
      <c r="Q103" s="63" t="str">
        <f t="shared" si="64"/>
        <v>1.40688348517719E-19</v>
      </c>
      <c r="R103" s="63">
        <f t="shared" si="65"/>
        <v>-188.51741868336333</v>
      </c>
      <c r="S103" s="63" t="str">
        <f t="shared" si="66"/>
        <v>4.11252885435591E-19</v>
      </c>
      <c r="T103" s="63">
        <f t="shared" si="82"/>
        <v>-183.85891041931069</v>
      </c>
      <c r="U103" s="63" t="str">
        <f t="shared" si="67"/>
        <v>2.85480273290819E-17-6.01853107621011E-36i</v>
      </c>
      <c r="V103" s="63">
        <f t="shared" si="83"/>
        <v>-165.4442389616396</v>
      </c>
      <c r="W103" s="63">
        <f t="shared" si="68"/>
        <v>102.64873945531943</v>
      </c>
      <c r="X103" s="63" t="str">
        <f t="shared" si="69"/>
        <v>224.969335892286-790.206751539684i</v>
      </c>
      <c r="Y103" s="90" t="str">
        <f t="shared" si="70"/>
        <v>3.19164246035588E-10-7.69816322862535E-10i</v>
      </c>
      <c r="Z103" s="90" t="str">
        <f t="shared" si="71"/>
        <v>2.24969335892286E-11-7.90206751539684E-11i</v>
      </c>
      <c r="AA103" s="90" t="str">
        <f t="shared" si="72"/>
        <v>1.59582123017794E-10-3.84908161431268E-10i</v>
      </c>
      <c r="AB103" s="90" t="str">
        <f t="shared" si="73"/>
        <v>6.68775457785209E-18+1.50463276905253E-36i</v>
      </c>
      <c r="AC103" s="90">
        <f t="shared" si="84"/>
        <v>-171.74719672686302</v>
      </c>
      <c r="AD103" s="90" t="str">
        <f t="shared" si="74"/>
        <v>4.56593078288728E-17</v>
      </c>
      <c r="AE103" s="63">
        <f t="shared" si="85"/>
        <v>-163.40470676472142</v>
      </c>
      <c r="AF103" s="63" t="str">
        <f t="shared" si="86"/>
        <v>5.18901758713294E-14-3.15544362088405E-30i</v>
      </c>
      <c r="AG103" s="63">
        <f t="shared" si="87"/>
        <v>-132.84914857348656</v>
      </c>
      <c r="AH103" s="116">
        <f t="shared" si="89"/>
        <v>-175</v>
      </c>
      <c r="AI103" s="63" t="str">
        <f t="shared" si="75"/>
        <v>6.95847661874505E-20</v>
      </c>
      <c r="AJ103" s="134">
        <f t="shared" si="88"/>
        <v>-191.57485827700842</v>
      </c>
      <c r="AK103" s="63">
        <f t="shared" si="76"/>
        <v>-132.84129584852639</v>
      </c>
      <c r="AL103" s="49">
        <f t="shared" si="77"/>
        <v>3.5669410696678225E-8</v>
      </c>
    </row>
    <row r="104" spans="1:38" x14ac:dyDescent="0.25">
      <c r="D104" s="49"/>
      <c r="E104" s="68">
        <v>6309.5734448019548</v>
      </c>
      <c r="F104" s="61" t="str">
        <f t="shared" si="78"/>
        <v>39644219.1629501i</v>
      </c>
      <c r="G104" s="83" t="str">
        <f t="shared" ref="G104:G128" si="90">IMDIV(IMDIV(IMPRODUCT(1/$C$25,IMDIV(1,F104),IMSUM(IMDIV(F104,$C$21),1)),(IMSUM(IMDIV(F104,$C$22),1))),IMSUM(IMDIV(IMPOWER(F104,2),POWER($C$23,2)),IMDIV(IMDIV(F104,$C$23),$C$24),1))</f>
        <v>-66.8611254754548+28.1117173401759i</v>
      </c>
      <c r="H104" s="62" t="str">
        <f t="shared" ref="H104:H128" si="91">IMDIV(IMDIV(IMPRODUCT($C$19,$C$14,G104),F104),$C$20)</f>
        <v>0.000487506276562838+0.00115948869053105i</v>
      </c>
      <c r="I104" s="62" t="str">
        <f t="shared" ref="I104:I128" si="92">IMDIV(IMDIV(IMPRODUCT($C$19,$C$14,G104),F104),IMSUM(1,H104))</f>
        <v>0.0390888942322986+0.0926685955897066i</v>
      </c>
      <c r="J104" s="89" t="str">
        <f t="shared" ref="J104:J128" si="93">IMDIV(IMDIV(IMPRODUCT(($C$14*2*PI()),G104),F104),IMSUM(1,H104))</f>
        <v>98.2411063657103+232.901583298485i</v>
      </c>
      <c r="K104" s="89" t="str">
        <f t="shared" ref="K104:K128" si="94">IMDIV(IMDIV(($C$14*2*PI()),F104),IMSUM(1,H104))</f>
        <v>-0.00403892022338908-3.48506135104929i</v>
      </c>
      <c r="L104" s="89" t="str">
        <f t="shared" ref="L104:L128" si="95">IMDIV(1,IMSUM(1,H104))</f>
        <v>0.999511388822099-0.00115835744487133i</v>
      </c>
      <c r="M104" s="63">
        <f t="shared" si="79"/>
        <v>-177.02059991327963</v>
      </c>
      <c r="N104" s="63">
        <f t="shared" si="80"/>
        <v>-152.51029995663981</v>
      </c>
      <c r="O104" s="63" t="str">
        <f t="shared" ref="O104:O128" si="96">IMPRODUCT((POWER(10,M104/10)+POWER(10,N104/10)),I104,(IMCONJUGATE(I104)))</f>
        <v>5.69492588270721E-18</v>
      </c>
      <c r="P104" s="63">
        <f t="shared" si="81"/>
        <v>-172.44511923725483</v>
      </c>
      <c r="Q104" s="63" t="str">
        <f t="shared" ref="Q104:Q128" si="97">IMPRODUCT(POWER(SQRT($C$33/$C$38),2),J104,(IMCONJUGATE(J104)),0.5)</f>
        <v>6.46736632448865E-20</v>
      </c>
      <c r="R104" s="63">
        <f t="shared" ref="R104:R128" si="98">10*LOG(IMABS(Q104))</f>
        <v>-191.89272539053152</v>
      </c>
      <c r="S104" s="63" t="str">
        <f t="shared" ref="S104:S128" si="99">IMPRODUCT(POWER(SQRT($C$29*$C$13)*SQRT($C$33/$C$34),2)+POWER(SQRT($C$30+$C$29*$C$13)*SQRT($C$33/$C$34),2),J104,(IMCONJUGATE(J104)),0.5)</f>
        <v>1.89050698948247E-19+1.20370621524202E-35i</v>
      </c>
      <c r="T104" s="63">
        <f t="shared" si="82"/>
        <v>-187.23421712647882</v>
      </c>
      <c r="U104" s="63" t="str">
        <f t="shared" ref="U104:U128" si="100">IMPRODUCT(IMPRODUCT(SQRT($C$33*$C$39),IMDIV($C$40/($C$40+$C$41),IMSUM(IMPRODUCT(F104,$C$39,($C$40*$C$41)/($C$40+$C$41)),1))),IMCONJUGATE(IMPRODUCT(SQRT($C$33*$C$39),IMDIV($C$40/($C$40+$C$41),IMSUM(IMPRODUCT(F104,$C$39,($C$40*$C$41)/($C$40+$C$41)),1)))),K104,(IMCONJUGATE(K104)),0.5)</f>
        <v>1.83252602958806E-17</v>
      </c>
      <c r="V104" s="63">
        <f t="shared" si="83"/>
        <v>-167.36949847832167</v>
      </c>
      <c r="W104" s="63">
        <f t="shared" ref="W104:W128" si="101">$C$38*($C$34*($C$30+$C$29*$C$13)+$C$34*$C$29*$C$13)/($C$38+($C$34*($C$30+$C$29*$C$13)+$C$34*$C$29*$C$13))</f>
        <v>102.64873945531943</v>
      </c>
      <c r="X104" s="63" t="str">
        <f t="shared" ref="X104:X128" si="102">IMDIV(IMPRODUCT(IMDIV(1/($C$40+$C$41),F104),IMSUM(1,IMPRODUCT(F104,$C$39,$C$40))),IMSUM(IMPRODUCT(F104,$C$39,($C$40*$C$41)/($C$40+$C$41)),1))</f>
        <v>181.78189265223-715.810309735704i</v>
      </c>
      <c r="Y104" s="90" t="str">
        <f t="shared" ref="Y104:Y128" si="103">IMPRODUCT($C$31,IMSUM(1,IMDIV(X104,W104)))</f>
        <v>2.77091207955218E-10-6.97339600597121E-10i</v>
      </c>
      <c r="Z104" s="90" t="str">
        <f t="shared" ref="Z104:Z128" si="104">IMPRODUCT($C$32,X104)</f>
        <v>1.8178189265223E-11-7.15810309735704E-11i</v>
      </c>
      <c r="AA104" s="90" t="str">
        <f t="shared" ref="AA104:AA128" si="105">IMPRODUCT($C$32,$C$35,IMSUM(1,IMDIV(X104,W104)))</f>
        <v>1.38545603977609E-10-3.48669800298561E-10i</v>
      </c>
      <c r="AB104" s="90" t="str">
        <f t="shared" ref="AB104:AB128" si="106">IMPRODUCT(IMSUM(IMPRODUCT(Y104,IMCONJUGATE(Y104)),IMPRODUCT(Z104,IMCONJUGATE(Z104)),IMPRODUCT(AA104,IMCONJUGATE(AA104))),K104,IMCONJUGATE(K104),0.5)</f>
        <v>4.30735133009496E-18</v>
      </c>
      <c r="AC104" s="90">
        <f t="shared" si="84"/>
        <v>-173.65789703464063</v>
      </c>
      <c r="AD104" s="90" t="str">
        <f t="shared" ref="AD104:AD128" si="107">(IMPRODUCT(POWER(10,($C$17-20*LOG(E104*1000/$C$18))/10),L104,(IMCONJUGATE(L104))))</f>
        <v>3.62723820634868E-17</v>
      </c>
      <c r="AE104" s="63">
        <f t="shared" si="85"/>
        <v>-164.40423922692023</v>
      </c>
      <c r="AF104" s="63" t="str">
        <f t="shared" si="86"/>
        <v>3.69918740901905E-14-1.57772181044202E-30i</v>
      </c>
      <c r="AG104" s="63">
        <f t="shared" si="87"/>
        <v>-134.3189366580786</v>
      </c>
      <c r="AH104" s="116">
        <f t="shared" si="89"/>
        <v>-175</v>
      </c>
      <c r="AI104" s="63" t="str">
        <f t="shared" ref="AI104:AI128" si="108">IMPRODUCT(POWER(10,AH104/10),I104,(IMCONJUGATE(I104)))</f>
        <v>3.19877358913947E-20</v>
      </c>
      <c r="AJ104" s="134">
        <f t="shared" si="88"/>
        <v>-194.95016498417667</v>
      </c>
      <c r="AK104" s="63">
        <f t="shared" ref="AK104:AK128" si="109">10*LOG(IMABS(IMSUM(O104,Q104,S104,U104,AB104,AD104,AF104,AI104)))</f>
        <v>-134.31132558477427</v>
      </c>
      <c r="AL104" s="49">
        <f t="shared" ref="AL104:AL127" si="110">10^((AK104+(10*LOG((E105-E104)*1000)))/10)</f>
        <v>2.8529421188814161E-8</v>
      </c>
    </row>
    <row r="105" spans="1:38" x14ac:dyDescent="0.25">
      <c r="D105" s="49"/>
      <c r="E105" s="68">
        <v>7079.4578438414082</v>
      </c>
      <c r="F105" s="61" t="str">
        <f t="shared" si="78"/>
        <v>44481545.5072216i</v>
      </c>
      <c r="G105" s="83" t="str">
        <f t="shared" si="90"/>
        <v>-48.1050333564621+26.0320240239212i</v>
      </c>
      <c r="H105" s="62" t="str">
        <f t="shared" si="91"/>
        <v>0.000402347002838296+0.00074350407692553i</v>
      </c>
      <c r="I105" s="62" t="str">
        <f t="shared" si="92"/>
        <v>0.0322189852902691+0.059432458735481i</v>
      </c>
      <c r="J105" s="89" t="str">
        <f t="shared" si="93"/>
        <v>80.9751419952215+149.370060598532i</v>
      </c>
      <c r="K105" s="89" t="str">
        <f t="shared" si="94"/>
        <v>-0.0023086409316605-3.10633105869481i</v>
      </c>
      <c r="L105" s="89" t="str">
        <f t="shared" si="95"/>
        <v>0.99959726268387-0.000742905734193512i</v>
      </c>
      <c r="M105" s="63">
        <f t="shared" si="79"/>
        <v>-177.52059991327963</v>
      </c>
      <c r="N105" s="63">
        <f t="shared" si="80"/>
        <v>-152.51029995663981</v>
      </c>
      <c r="O105" s="63" t="str">
        <f t="shared" si="96"/>
        <v>2.57205811937769E-18-1.92592994438724E-34i</v>
      </c>
      <c r="P105" s="63">
        <f t="shared" si="81"/>
        <v>-175.89719222124239</v>
      </c>
      <c r="Q105" s="63" t="str">
        <f t="shared" si="97"/>
        <v>2.92204421441646E-20-1.50463276905253E-36i</v>
      </c>
      <c r="R105" s="63">
        <f t="shared" si="98"/>
        <v>-195.34313216898707</v>
      </c>
      <c r="S105" s="63" t="str">
        <f t="shared" si="99"/>
        <v>8.54156813417849E-20+6.01853107621011E-36i</v>
      </c>
      <c r="T105" s="63">
        <f t="shared" si="82"/>
        <v>-190.68462390493437</v>
      </c>
      <c r="U105" s="63" t="str">
        <f t="shared" si="100"/>
        <v>1.17250855195678E-17</v>
      </c>
      <c r="V105" s="63">
        <f t="shared" si="83"/>
        <v>-169.30883980976125</v>
      </c>
      <c r="W105" s="63">
        <f t="shared" si="101"/>
        <v>102.64873945531943</v>
      </c>
      <c r="X105" s="63" t="str">
        <f t="shared" si="102"/>
        <v>146.400381611233-646.391067324061i</v>
      </c>
      <c r="Y105" s="90" t="str">
        <f t="shared" si="103"/>
        <v>2.42622678454768E-10-6.29711646488771E-10i</v>
      </c>
      <c r="Z105" s="90" t="str">
        <f t="shared" si="104"/>
        <v>1.46400381611233E-11-6.46391067324061E-11i</v>
      </c>
      <c r="AA105" s="90" t="str">
        <f t="shared" si="105"/>
        <v>1.21311339227384E-10-3.14855823244386E-10i</v>
      </c>
      <c r="AB105" s="90" t="str">
        <f t="shared" si="106"/>
        <v>2.76763913207482E-18</v>
      </c>
      <c r="AC105" s="90">
        <f t="shared" si="84"/>
        <v>-175.57890537468739</v>
      </c>
      <c r="AD105" s="90" t="str">
        <f t="shared" si="107"/>
        <v>2.88171054841716E-17</v>
      </c>
      <c r="AE105" s="63">
        <f t="shared" si="85"/>
        <v>-165.40349643764324</v>
      </c>
      <c r="AF105" s="63" t="str">
        <f t="shared" si="86"/>
        <v>2.57716119064669E-14</v>
      </c>
      <c r="AG105" s="63">
        <f t="shared" si="87"/>
        <v>-135.88858417297325</v>
      </c>
      <c r="AH105" s="116">
        <f t="shared" si="89"/>
        <v>-175</v>
      </c>
      <c r="AI105" s="63" t="str">
        <f t="shared" si="108"/>
        <v>1.44524948648433E-20-7.52316384526264E-37i</v>
      </c>
      <c r="AJ105" s="134">
        <f t="shared" si="88"/>
        <v>-198.40057176263215</v>
      </c>
      <c r="AK105" s="63">
        <f t="shared" si="109"/>
        <v>-135.88083747204126</v>
      </c>
      <c r="AL105" s="49">
        <f t="shared" si="110"/>
        <v>2.2301895266207086E-8</v>
      </c>
    </row>
    <row r="106" spans="1:38" x14ac:dyDescent="0.25">
      <c r="D106" s="49"/>
      <c r="E106" s="68">
        <v>7943.2823472428472</v>
      </c>
      <c r="F106" s="61" t="str">
        <f t="shared" si="78"/>
        <v>49909114.9349752i</v>
      </c>
      <c r="G106" s="83" t="str">
        <f t="shared" si="90"/>
        <v>-34.0115942954669+22.7356590504947i</v>
      </c>
      <c r="H106" s="62" t="str">
        <f t="shared" si="91"/>
        <v>0.000313184587977164+0.000468511034679704i</v>
      </c>
      <c r="I106" s="62" t="str">
        <f t="shared" si="92"/>
        <v>0.0250644664428894+0.0374574087121551i</v>
      </c>
      <c r="J106" s="89" t="str">
        <f t="shared" si="93"/>
        <v>62.9938749145032+94.1407360260934i</v>
      </c>
      <c r="K106" s="89" t="str">
        <f t="shared" si="94"/>
        <v>-0.00129679230141153-2.76876816286936i</v>
      </c>
      <c r="L106" s="89" t="str">
        <f t="shared" si="95"/>
        <v>0.999686694169461-0.000468217608901938i</v>
      </c>
      <c r="M106" s="63">
        <f t="shared" si="79"/>
        <v>-178.02059991327965</v>
      </c>
      <c r="N106" s="63">
        <f t="shared" si="80"/>
        <v>-152.51029995663981</v>
      </c>
      <c r="O106" s="63" t="str">
        <f t="shared" si="96"/>
        <v>1.14277373278396E-18-9.62964972193618E-35i</v>
      </c>
      <c r="P106" s="63">
        <f t="shared" si="81"/>
        <v>-179.4203975064674</v>
      </c>
      <c r="Q106" s="63" t="str">
        <f t="shared" si="97"/>
        <v>1.29871784862333E-20-7.52316384526264E-37i</v>
      </c>
      <c r="R106" s="63">
        <f t="shared" si="98"/>
        <v>-198.86485190802088</v>
      </c>
      <c r="S106" s="63" t="str">
        <f t="shared" si="99"/>
        <v>3.79634467417023E-20</v>
      </c>
      <c r="T106" s="63">
        <f t="shared" si="82"/>
        <v>-194.20634364396821</v>
      </c>
      <c r="U106" s="63" t="str">
        <f t="shared" si="100"/>
        <v>7.48191012169562E-18</v>
      </c>
      <c r="V106" s="63">
        <f t="shared" si="83"/>
        <v>-171.25987513176852</v>
      </c>
      <c r="W106" s="63">
        <f t="shared" si="101"/>
        <v>102.64873945531943</v>
      </c>
      <c r="X106" s="63" t="str">
        <f t="shared" si="102"/>
        <v>117.587488391855-582.211025124519i</v>
      </c>
      <c r="Y106" s="90" t="str">
        <f t="shared" si="103"/>
        <v>2.14553270713118E-10-5.67187700710092E-10i</v>
      </c>
      <c r="Z106" s="90" t="str">
        <f t="shared" si="104"/>
        <v>1.17587488391855E-11-5.82211025124519E-11i</v>
      </c>
      <c r="AA106" s="90" t="str">
        <f t="shared" si="105"/>
        <v>1.07276635356559E-10-2.83593850355046E-10i</v>
      </c>
      <c r="AB106" s="90" t="str">
        <f t="shared" si="106"/>
        <v>1.77545123365965E-18</v>
      </c>
      <c r="AC106" s="90">
        <f t="shared" si="84"/>
        <v>-177.50691251970292</v>
      </c>
      <c r="AD106" s="90" t="str">
        <f t="shared" si="107"/>
        <v>2.28943289547706E-17</v>
      </c>
      <c r="AE106" s="63">
        <f t="shared" si="85"/>
        <v>-166.40272081357125</v>
      </c>
      <c r="AF106" s="63" t="str">
        <f t="shared" si="86"/>
        <v>1.75352047221107E-14</v>
      </c>
      <c r="AG106" s="63">
        <f t="shared" si="87"/>
        <v>-137.56089159399588</v>
      </c>
      <c r="AH106" s="116">
        <f t="shared" si="89"/>
        <v>-175</v>
      </c>
      <c r="AI106" s="63" t="str">
        <f t="shared" si="108"/>
        <v>6.42348700457884E-21-3.76158192263132E-37i</v>
      </c>
      <c r="AJ106" s="134">
        <f t="shared" si="88"/>
        <v>-201.922291501666</v>
      </c>
      <c r="AK106" s="63">
        <f t="shared" si="109"/>
        <v>-137.55263918849786</v>
      </c>
      <c r="AL106" s="49">
        <f t="shared" si="110"/>
        <v>1.7027919968230421E-8</v>
      </c>
    </row>
    <row r="107" spans="1:38" x14ac:dyDescent="0.25">
      <c r="D107" s="49"/>
      <c r="E107" s="68">
        <v>8912.5093813374915</v>
      </c>
      <c r="F107" s="61" t="str">
        <f t="shared" si="78"/>
        <v>55998947.99492i</v>
      </c>
      <c r="G107" s="83" t="str">
        <f t="shared" si="90"/>
        <v>-23.662723943704+19.0310409079113i</v>
      </c>
      <c r="H107" s="62" t="str">
        <f t="shared" si="91"/>
        <v>0.000233644400344376+0.000290507648693191i</v>
      </c>
      <c r="I107" s="62" t="str">
        <f t="shared" si="92"/>
        <v>0.0186939327159671+0.0232297536631525i</v>
      </c>
      <c r="J107" s="89" t="str">
        <f t="shared" si="93"/>
        <v>46.9829773497473+58.3827387622884i</v>
      </c>
      <c r="K107" s="89" t="str">
        <f t="shared" si="94"/>
        <v>-0.000716765838221007-2.46786378868332i</v>
      </c>
      <c r="L107" s="89" t="str">
        <f t="shared" si="95"/>
        <v>0.999766325841055-0.000290371920789407i</v>
      </c>
      <c r="M107" s="63">
        <f t="shared" si="79"/>
        <v>-178.52059991327963</v>
      </c>
      <c r="N107" s="63">
        <f t="shared" si="80"/>
        <v>-152.51029995663981</v>
      </c>
      <c r="O107" s="63" t="str">
        <f t="shared" si="96"/>
        <v>5.0003457314775E-19-4.81482486096809E-35i</v>
      </c>
      <c r="P107" s="63">
        <f t="shared" si="81"/>
        <v>-183.00999966847581</v>
      </c>
      <c r="Q107" s="63" t="str">
        <f t="shared" si="97"/>
        <v>5.68443147220361E-21</v>
      </c>
      <c r="R107" s="63">
        <f t="shared" si="98"/>
        <v>-202.45312964719716</v>
      </c>
      <c r="S107" s="63" t="str">
        <f t="shared" si="99"/>
        <v>1.6616435331247E-20</v>
      </c>
      <c r="T107" s="63">
        <f t="shared" si="82"/>
        <v>-197.79462138314449</v>
      </c>
      <c r="U107" s="63" t="str">
        <f t="shared" si="100"/>
        <v>4.7637381421749E-18</v>
      </c>
      <c r="V107" s="63">
        <f t="shared" si="83"/>
        <v>-173.22052119257702</v>
      </c>
      <c r="W107" s="63">
        <f t="shared" si="101"/>
        <v>102.64873945531943</v>
      </c>
      <c r="X107" s="63" t="str">
        <f t="shared" si="102"/>
        <v>94.2382864352634-523.312209080351i</v>
      </c>
      <c r="Y107" s="90" t="str">
        <f t="shared" si="103"/>
        <v>1.91806569603598E-10-5.09808704770443E-10i</v>
      </c>
      <c r="Z107" s="90" t="str">
        <f t="shared" si="104"/>
        <v>9.42382864352634E-12-5.23312209080351E-11i</v>
      </c>
      <c r="AA107" s="90" t="str">
        <f t="shared" si="105"/>
        <v>9.5903284801799E-11-2.54904352385222E-10i</v>
      </c>
      <c r="AB107" s="90" t="str">
        <f t="shared" si="106"/>
        <v>1.13796924268539E-18</v>
      </c>
      <c r="AC107" s="90">
        <f t="shared" si="84"/>
        <v>-179.43869476001169</v>
      </c>
      <c r="AD107" s="90" t="str">
        <f t="shared" si="107"/>
        <v>1.8188506772665E-17-7.52316384526264E-37i</v>
      </c>
      <c r="AE107" s="63">
        <f t="shared" si="85"/>
        <v>-167.40202953878307</v>
      </c>
      <c r="AF107" s="63" t="str">
        <f t="shared" si="86"/>
        <v>1.1642588536858E-14</v>
      </c>
      <c r="AG107" s="63">
        <f t="shared" si="87"/>
        <v>-139.33950450760688</v>
      </c>
      <c r="AH107" s="116">
        <f t="shared" si="89"/>
        <v>-175</v>
      </c>
      <c r="AI107" s="63" t="str">
        <f t="shared" si="108"/>
        <v>2.81153229154618E-21+1.88079096131566E-37i</v>
      </c>
      <c r="AJ107" s="134">
        <f t="shared" si="88"/>
        <v>-205.51056924084233</v>
      </c>
      <c r="AK107" s="63">
        <f t="shared" si="109"/>
        <v>-139.33033212264257</v>
      </c>
      <c r="AL107" s="49">
        <f t="shared" si="110"/>
        <v>1.2687974785084322E-8</v>
      </c>
    </row>
    <row r="108" spans="1:38" x14ac:dyDescent="0.25">
      <c r="D108" s="49"/>
      <c r="E108" s="68">
        <v>10000</v>
      </c>
      <c r="F108" s="61" t="str">
        <f t="shared" si="78"/>
        <v>62831853.0717959i</v>
      </c>
      <c r="G108" s="83" t="str">
        <f t="shared" si="90"/>
        <v>-16.2232279298578+15.4194144295242i</v>
      </c>
      <c r="H108" s="62" t="str">
        <f t="shared" si="91"/>
        <v>0.000168717726790337+0.000177512975608606i</v>
      </c>
      <c r="I108" s="62" t="str">
        <f t="shared" si="92"/>
        <v>0.0134976608665948+0.0141962468802417i</v>
      </c>
      <c r="J108" s="89" t="str">
        <f t="shared" si="93"/>
        <v>33.9233217753126+35.6790599260116i</v>
      </c>
      <c r="K108" s="89" t="str">
        <f t="shared" si="94"/>
        <v>-0.000390396789206647-2.19962881432617i</v>
      </c>
      <c r="L108" s="89" t="str">
        <f t="shared" si="95"/>
        <v>0.999831279239168-0.000177453086003021i</v>
      </c>
      <c r="M108" s="63">
        <f t="shared" si="79"/>
        <v>-179.02059991327963</v>
      </c>
      <c r="N108" s="63">
        <f t="shared" si="80"/>
        <v>-152.51029995663981</v>
      </c>
      <c r="O108" s="63" t="str">
        <f t="shared" si="96"/>
        <v>2.15751403814687E-19</v>
      </c>
      <c r="P108" s="63">
        <f t="shared" si="81"/>
        <v>-186.66046369809791</v>
      </c>
      <c r="Q108" s="63" t="str">
        <f t="shared" si="97"/>
        <v>2.45334545646893E-21</v>
      </c>
      <c r="R108" s="63">
        <f t="shared" si="98"/>
        <v>-206.10241294323242</v>
      </c>
      <c r="S108" s="63" t="str">
        <f t="shared" si="99"/>
        <v>7.17149222784481E-21-7.52316384526264E-37i</v>
      </c>
      <c r="T108" s="63">
        <f t="shared" si="82"/>
        <v>-201.44390467917975</v>
      </c>
      <c r="U108" s="63" t="str">
        <f t="shared" si="100"/>
        <v>3.02761110858049E-18</v>
      </c>
      <c r="V108" s="63">
        <f t="shared" si="83"/>
        <v>-175.18899909965927</v>
      </c>
      <c r="W108" s="63">
        <f t="shared" si="101"/>
        <v>102.64873945531943</v>
      </c>
      <c r="X108" s="63" t="str">
        <f t="shared" si="102"/>
        <v>75.391638790545-469.579368901945i</v>
      </c>
      <c r="Y108" s="90" t="str">
        <f t="shared" si="103"/>
        <v>1.73446239272486E-10-4.57462382289012E-10i</v>
      </c>
      <c r="Z108" s="90" t="str">
        <f t="shared" si="104"/>
        <v>7.5391638790545E-12-4.69579368901945E-11i</v>
      </c>
      <c r="AA108" s="90" t="str">
        <f t="shared" si="105"/>
        <v>8.6723119636243E-11-2.28731191144506E-10i</v>
      </c>
      <c r="AB108" s="90" t="str">
        <f t="shared" si="106"/>
        <v>7.29277811307636E-19-2.35098870164458E-38i</v>
      </c>
      <c r="AC108" s="90">
        <f t="shared" si="84"/>
        <v>-181.37106999892711</v>
      </c>
      <c r="AD108" s="90" t="str">
        <f t="shared" si="107"/>
        <v>1.44495210601342E-17</v>
      </c>
      <c r="AE108" s="63">
        <f t="shared" si="85"/>
        <v>-168.40146547674772</v>
      </c>
      <c r="AF108" s="63" t="str">
        <f t="shared" si="86"/>
        <v>7.53421453534175E-15</v>
      </c>
      <c r="AG108" s="63">
        <f t="shared" si="87"/>
        <v>-141.22962017502996</v>
      </c>
      <c r="AH108" s="116">
        <v>-175</v>
      </c>
      <c r="AI108" s="63" t="str">
        <f t="shared" si="108"/>
        <v>1.21343005134452E-21</v>
      </c>
      <c r="AJ108" s="134">
        <f t="shared" si="88"/>
        <v>-209.15985253687762</v>
      </c>
      <c r="AK108" s="63">
        <f t="shared" si="109"/>
        <v>-141.21900782372765</v>
      </c>
      <c r="AL108" s="49">
        <f t="shared" si="110"/>
        <v>9.2156237810747102E-9</v>
      </c>
    </row>
    <row r="109" spans="1:38" x14ac:dyDescent="0.25">
      <c r="E109" s="68">
        <v>11220.184543019701</v>
      </c>
      <c r="F109" s="61" t="str">
        <f t="shared" si="78"/>
        <v>70498498.6645449i</v>
      </c>
      <c r="G109" s="83" t="str">
        <f t="shared" si="90"/>
        <v>-10.9777223293967+12.1749660612145i</v>
      </c>
      <c r="H109" s="62" t="str">
        <f t="shared" si="91"/>
        <v>0.000118730034336101+0.000107054536542292i</v>
      </c>
      <c r="I109" s="62" t="str">
        <f t="shared" si="92"/>
        <v>0.00949819166248141+0.00856232949320216i</v>
      </c>
      <c r="J109" s="89" t="str">
        <f t="shared" si="93"/>
        <v>23.8715593193916+21.5194811467674i</v>
      </c>
      <c r="K109" s="89" t="str">
        <f t="shared" si="94"/>
        <v>-0.000209857565319232-1.9605192689079i</v>
      </c>
      <c r="L109" s="89" t="str">
        <f t="shared" si="95"/>
        <v>0.999881272604215-0.000107029118665027i</v>
      </c>
      <c r="M109" s="63">
        <f t="shared" si="79"/>
        <v>-179.52059991327965</v>
      </c>
      <c r="N109" s="63">
        <f t="shared" si="80"/>
        <v>-152.51029995663981</v>
      </c>
      <c r="O109" s="63" t="str">
        <f t="shared" si="96"/>
        <v>9.19239659647024E-20</v>
      </c>
      <c r="P109" s="63">
        <f t="shared" si="81"/>
        <v>-190.36571246728067</v>
      </c>
      <c r="Q109" s="63" t="str">
        <f t="shared" si="97"/>
        <v>1.04553623527708E-21+9.4039548065783E-38i</v>
      </c>
      <c r="R109" s="63">
        <f t="shared" si="98"/>
        <v>-209.80660911188551</v>
      </c>
      <c r="S109" s="63" t="str">
        <f t="shared" si="99"/>
        <v>3.05625730997199E-21</v>
      </c>
      <c r="T109" s="63">
        <f t="shared" si="82"/>
        <v>-205.14810084783281</v>
      </c>
      <c r="U109" s="63" t="str">
        <f t="shared" si="100"/>
        <v>1.92140279894475E-18-2.35098870164458E-38i</v>
      </c>
      <c r="V109" s="63">
        <f t="shared" si="83"/>
        <v>-177.16381580988696</v>
      </c>
      <c r="W109" s="63">
        <f t="shared" si="101"/>
        <v>102.64873945531943</v>
      </c>
      <c r="X109" s="63" t="str">
        <f t="shared" si="102"/>
        <v>60.2279514221965-420.791140431359i</v>
      </c>
      <c r="Y109" s="90" t="str">
        <f t="shared" si="103"/>
        <v>1.58673834419966E-10-4.09933081170003E-10i</v>
      </c>
      <c r="Z109" s="90" t="str">
        <f t="shared" si="104"/>
        <v>6.02279514221965E-12-4.20791140431359E-11i</v>
      </c>
      <c r="AA109" s="90" t="str">
        <f t="shared" si="105"/>
        <v>7.9336917209983E-11-2.04966540585002E-10i</v>
      </c>
      <c r="AB109" s="90" t="str">
        <f t="shared" si="106"/>
        <v>4.67645702611686E-19</v>
      </c>
      <c r="AC109" s="90">
        <f t="shared" si="84"/>
        <v>-183.30083052210477</v>
      </c>
      <c r="AD109" s="90" t="str">
        <f t="shared" si="107"/>
        <v>1.14788101625494E-17</v>
      </c>
      <c r="AE109" s="63">
        <f t="shared" si="85"/>
        <v>-169.40103126451947</v>
      </c>
      <c r="AF109" s="63" t="str">
        <f t="shared" si="86"/>
        <v>4.74355220334674E-15</v>
      </c>
      <c r="AG109" s="63">
        <f t="shared" si="87"/>
        <v>-143.23896315595437</v>
      </c>
      <c r="AH109" s="116">
        <v>-175</v>
      </c>
      <c r="AI109" s="63" t="str">
        <f t="shared" si="108"/>
        <v>5.17124518403874E-22</v>
      </c>
      <c r="AJ109" s="134">
        <f t="shared" si="88"/>
        <v>-212.86404870553068</v>
      </c>
      <c r="AK109" s="63">
        <f t="shared" si="109"/>
        <v>-143.22619687244489</v>
      </c>
      <c r="AL109" s="49">
        <f t="shared" si="110"/>
        <v>6.5133712359477675E-9</v>
      </c>
    </row>
    <row r="110" spans="1:38" x14ac:dyDescent="0.25">
      <c r="E110" s="68">
        <v>12589.2541179417</v>
      </c>
      <c r="F110" s="61" t="str">
        <f t="shared" si="78"/>
        <v>79100616.5022014i</v>
      </c>
      <c r="G110" s="83" t="str">
        <f t="shared" si="90"/>
        <v>-7.34289833044522+9.41542748548888i</v>
      </c>
      <c r="H110" s="62" t="str">
        <f t="shared" si="91"/>
        <v>0.000081833829905655+0.0000638205215763469i</v>
      </c>
      <c r="I110" s="62" t="str">
        <f t="shared" si="92"/>
        <v>0.00654649645896759+0.00510480617944863i</v>
      </c>
      <c r="J110" s="89" t="str">
        <f t="shared" si="93"/>
        <v>16.4531401457954+12.8297772730845i</v>
      </c>
      <c r="K110" s="89" t="str">
        <f t="shared" si="94"/>
        <v>-0.000111509521231103-1.74737911455158i</v>
      </c>
      <c r="L110" s="89" t="str">
        <f t="shared" si="95"/>
        <v>0.999918168794259-0.0000638100772431076i</v>
      </c>
      <c r="M110" s="63">
        <f t="shared" si="79"/>
        <v>-180.02059991327963</v>
      </c>
      <c r="N110" s="63">
        <f t="shared" si="80"/>
        <v>-152.51029995663981</v>
      </c>
      <c r="O110" s="63" t="str">
        <f t="shared" si="96"/>
        <v>3.87309118347932E-20</v>
      </c>
      <c r="P110" s="63">
        <f t="shared" si="81"/>
        <v>-194.11942278377782</v>
      </c>
      <c r="Q110" s="63" t="str">
        <f t="shared" si="97"/>
        <v>4.40617651943093E-22</v>
      </c>
      <c r="R110" s="63">
        <f t="shared" si="98"/>
        <v>-213.55938108211313</v>
      </c>
      <c r="S110" s="63" t="str">
        <f t="shared" si="99"/>
        <v>1.28799067331884E-21</v>
      </c>
      <c r="T110" s="63">
        <f t="shared" si="82"/>
        <v>-208.90087281806044</v>
      </c>
      <c r="U110" s="63" t="str">
        <f t="shared" si="100"/>
        <v>1.21794157719053E-18</v>
      </c>
      <c r="V110" s="63">
        <f t="shared" si="83"/>
        <v>-179.14373543650851</v>
      </c>
      <c r="W110" s="63">
        <f t="shared" si="101"/>
        <v>102.64873945531943</v>
      </c>
      <c r="X110" s="63" t="str">
        <f t="shared" si="102"/>
        <v>48.058928213049-376.659874512277i</v>
      </c>
      <c r="Y110" s="90" t="str">
        <f t="shared" si="103"/>
        <v>1.46818819664091E-10-3.6694057473178E-10i</v>
      </c>
      <c r="Z110" s="90" t="str">
        <f t="shared" si="104"/>
        <v>4.8058928213049E-12-3.76659874512277E-11i</v>
      </c>
      <c r="AA110" s="90" t="str">
        <f t="shared" si="105"/>
        <v>7.34094098320455E-11-1.8347028736589E-10i</v>
      </c>
      <c r="AB110" s="90" t="str">
        <f t="shared" si="106"/>
        <v>3.00285091133384E-19</v>
      </c>
      <c r="AC110" s="90">
        <f t="shared" si="84"/>
        <v>-185.22466229570031</v>
      </c>
      <c r="AD110" s="90" t="str">
        <f t="shared" si="107"/>
        <v>9.11861587283235E-18+9.4039548065783E-38i</v>
      </c>
      <c r="AE110" s="63">
        <f t="shared" si="85"/>
        <v>-170.40071078821933</v>
      </c>
      <c r="AF110" s="63" t="str">
        <f t="shared" si="86"/>
        <v>2.89797144703935E-15</v>
      </c>
      <c r="AG110" s="63">
        <f t="shared" si="87"/>
        <v>-145.37905897834597</v>
      </c>
      <c r="AH110" s="116">
        <v>-175</v>
      </c>
      <c r="AI110" s="63" t="str">
        <f t="shared" si="108"/>
        <v>2.17930458432111E-22</v>
      </c>
      <c r="AJ110" s="134">
        <f t="shared" si="88"/>
        <v>-216.61682067575828</v>
      </c>
      <c r="AK110" s="63">
        <f t="shared" si="109"/>
        <v>-145.36308688818383</v>
      </c>
      <c r="AL110" s="49">
        <f t="shared" si="110"/>
        <v>4.4680377147532215E-9</v>
      </c>
    </row>
    <row r="111" spans="1:38" x14ac:dyDescent="0.25">
      <c r="E111" s="68">
        <v>14125.375446227599</v>
      </c>
      <c r="F111" s="61" t="str">
        <f t="shared" si="78"/>
        <v>88752351.4621325i</v>
      </c>
      <c r="G111" s="83" t="str">
        <f t="shared" si="90"/>
        <v>-4.86257711053064+7.15944523817142i</v>
      </c>
      <c r="H111" s="62" t="str">
        <f t="shared" si="91"/>
        <v>0.0000554590218755267+0.0000376668528598498i</v>
      </c>
      <c r="I111" s="62" t="str">
        <f t="shared" si="92"/>
        <v>0.00443658919190074+0.00301301401762536i</v>
      </c>
      <c r="J111" s="89" t="str">
        <f t="shared" si="93"/>
        <v>11.150364809817+7.57253016234791i</v>
      </c>
      <c r="K111" s="89" t="str">
        <f t="shared" si="94"/>
        <v>-0.0000586588907318749-1.55739435186817i</v>
      </c>
      <c r="L111" s="89" t="str">
        <f t="shared" si="95"/>
        <v>0.999944542635097-0.0000376626752203169i</v>
      </c>
      <c r="M111" s="63">
        <f t="shared" si="79"/>
        <v>-180.52059991327965</v>
      </c>
      <c r="N111" s="63">
        <f t="shared" si="80"/>
        <v>-152.51029995663981</v>
      </c>
      <c r="O111" s="63" t="str">
        <f t="shared" si="96"/>
        <v>1.61610226379286E-20</v>
      </c>
      <c r="P111" s="63">
        <f t="shared" si="81"/>
        <v>-197.91531161385851</v>
      </c>
      <c r="Q111" s="63" t="str">
        <f t="shared" si="97"/>
        <v>1.8388938318889E-22-1.17549435082229E-38i</v>
      </c>
      <c r="R111" s="63">
        <f t="shared" si="98"/>
        <v>-217.35443343929842</v>
      </c>
      <c r="S111" s="63" t="str">
        <f t="shared" si="99"/>
        <v>5.37535909932708E-22</v>
      </c>
      <c r="T111" s="63">
        <f t="shared" si="82"/>
        <v>-212.69592517524575</v>
      </c>
      <c r="U111" s="63" t="str">
        <f t="shared" si="100"/>
        <v>7.71303641029888E-19</v>
      </c>
      <c r="V111" s="63">
        <f t="shared" si="83"/>
        <v>-181.12774618494268</v>
      </c>
      <c r="W111" s="63">
        <f t="shared" si="101"/>
        <v>102.64873945531943</v>
      </c>
      <c r="X111" s="63" t="str">
        <f t="shared" si="102"/>
        <v>38.3133474292547-336.861449284964i</v>
      </c>
      <c r="Y111" s="90" t="str">
        <f t="shared" si="103"/>
        <v>1.37324713028679E-10-3.28169104727868E-10i</v>
      </c>
      <c r="Z111" s="90" t="str">
        <f t="shared" si="104"/>
        <v>3.83133474292547E-12-3.36861449284964E-11i</v>
      </c>
      <c r="AA111" s="90" t="str">
        <f t="shared" si="105"/>
        <v>6.86623565143395E-11-1.64084552363934E-10i</v>
      </c>
      <c r="AB111" s="90" t="str">
        <f t="shared" si="106"/>
        <v>1.93238655269032E-19-1.46936793852786E-39i</v>
      </c>
      <c r="AC111" s="90">
        <f t="shared" si="84"/>
        <v>-187.1390599339247</v>
      </c>
      <c r="AD111" s="90" t="str">
        <f t="shared" si="107"/>
        <v>7.24355612711819E-18</v>
      </c>
      <c r="AE111" s="63">
        <f t="shared" si="85"/>
        <v>-171.40048170374746</v>
      </c>
      <c r="AF111" s="63" t="str">
        <f t="shared" si="86"/>
        <v>1.71124513644502E-15</v>
      </c>
      <c r="AG111" s="63">
        <f t="shared" si="87"/>
        <v>-147.66687773170935</v>
      </c>
      <c r="AH111" s="116">
        <v>-175</v>
      </c>
      <c r="AI111" s="63" t="str">
        <f t="shared" si="108"/>
        <v>9.09520928233919E-23-5.87747175411144E-39i</v>
      </c>
      <c r="AJ111" s="134">
        <f t="shared" si="88"/>
        <v>-220.41187303294353</v>
      </c>
      <c r="AK111" s="63">
        <f t="shared" si="109"/>
        <v>-147.64605344411143</v>
      </c>
      <c r="AL111" s="49">
        <f t="shared" si="110"/>
        <v>2.963604016848705E-9</v>
      </c>
    </row>
    <row r="112" spans="1:38" x14ac:dyDescent="0.25">
      <c r="E112" s="68">
        <v>15848.931924611201</v>
      </c>
      <c r="F112" s="61" t="str">
        <f t="shared" si="78"/>
        <v>99581776.2032066i</v>
      </c>
      <c r="G112" s="83" t="str">
        <f t="shared" si="90"/>
        <v>-3.19254411058255+5.36964265926643i</v>
      </c>
      <c r="H112" s="62" t="str">
        <f t="shared" si="91"/>
        <v>0.0000370713344248101+0.0000220409211374844i</v>
      </c>
      <c r="I112" s="62" t="str">
        <f t="shared" si="92"/>
        <v>0.00296563567520794+0.00176314296359428i</v>
      </c>
      <c r="J112" s="89" t="str">
        <f t="shared" si="93"/>
        <v>7.45345540036566+4.43126158532507i</v>
      </c>
      <c r="K112" s="89" t="str">
        <f t="shared" si="94"/>
        <v>-0.0000305928700618306-1.38805470014214i</v>
      </c>
      <c r="L112" s="89" t="str">
        <f t="shared" si="95"/>
        <v>0.999962929554065-0.0000220392870449286i</v>
      </c>
      <c r="M112" s="63">
        <f t="shared" si="79"/>
        <v>-181.02059991327963</v>
      </c>
      <c r="N112" s="63">
        <f t="shared" si="80"/>
        <v>-152.51029995663981</v>
      </c>
      <c r="O112" s="63" t="str">
        <f t="shared" si="96"/>
        <v>6.68747829906943E-21</v>
      </c>
      <c r="P112" s="63">
        <f t="shared" si="81"/>
        <v>-201.74737614258146</v>
      </c>
      <c r="Q112" s="63" t="str">
        <f t="shared" si="97"/>
        <v>7.61070287969984E-23</v>
      </c>
      <c r="R112" s="63">
        <f t="shared" si="98"/>
        <v>-221.1857523249634</v>
      </c>
      <c r="S112" s="63" t="str">
        <f t="shared" si="99"/>
        <v>2.22472120289004E-22</v>
      </c>
      <c r="T112" s="63">
        <f t="shared" si="82"/>
        <v>-216.5272440609107</v>
      </c>
      <c r="U112" s="63" t="str">
        <f t="shared" si="100"/>
        <v>4.88087084406257E-19</v>
      </c>
      <c r="V112" s="63">
        <f t="shared" si="83"/>
        <v>-183.11502684343697</v>
      </c>
      <c r="W112" s="63">
        <f t="shared" si="101"/>
        <v>102.64873945531943</v>
      </c>
      <c r="X112" s="63" t="str">
        <f t="shared" si="102"/>
        <v>30.5215131768506-301.056797810966i</v>
      </c>
      <c r="Y112" s="90" t="str">
        <f t="shared" si="103"/>
        <v>1.29733938613183E-10-2.93288353474627E-10i</v>
      </c>
      <c r="Z112" s="90" t="str">
        <f t="shared" si="104"/>
        <v>3.05215131768506E-12-3.01056797810966E-11i</v>
      </c>
      <c r="AA112" s="90" t="str">
        <f t="shared" si="105"/>
        <v>6.48669693065915E-11-1.46644176737313E-10i</v>
      </c>
      <c r="AB112" s="90" t="str">
        <f t="shared" si="106"/>
        <v>1.24731263525422E-19-3.67341984631965E-40i</v>
      </c>
      <c r="AC112" s="90">
        <f t="shared" si="84"/>
        <v>-189.04024678238829</v>
      </c>
      <c r="AD112" s="90" t="str">
        <f t="shared" si="107"/>
        <v>5.7539727477727E-18</v>
      </c>
      <c r="AE112" s="63">
        <f t="shared" si="85"/>
        <v>-172.4003219936609</v>
      </c>
      <c r="AF112" s="63" t="str">
        <f t="shared" si="86"/>
        <v>9.71179261871289E-16</v>
      </c>
      <c r="AG112" s="63">
        <f t="shared" si="87"/>
        <v>-150.12700599900433</v>
      </c>
      <c r="AH112" s="116">
        <v>-175</v>
      </c>
      <c r="AI112" s="63" t="str">
        <f t="shared" si="108"/>
        <v>3.76427036059326E-23</v>
      </c>
      <c r="AJ112" s="134">
        <f t="shared" si="88"/>
        <v>-224.24319191860857</v>
      </c>
      <c r="AK112" s="63">
        <f t="shared" si="109"/>
        <v>-150.09859653085172</v>
      </c>
      <c r="AL112" s="49">
        <f t="shared" si="110"/>
        <v>1.8904529197820999E-9</v>
      </c>
    </row>
    <row r="113" spans="5:38" x14ac:dyDescent="0.25">
      <c r="E113" s="68">
        <v>17782.794100389299</v>
      </c>
      <c r="F113" s="61" t="str">
        <f t="shared" si="78"/>
        <v>111732590.612166i</v>
      </c>
      <c r="G113" s="83" t="str">
        <f t="shared" si="90"/>
        <v>-2.08091897699054+3.98241801220112i</v>
      </c>
      <c r="H113" s="62" t="str">
        <f t="shared" si="91"/>
        <v>0.0000245041519970823+0.0000128040689725601i</v>
      </c>
      <c r="I113" s="62" t="str">
        <f t="shared" si="92"/>
        <v>0.0019602972392369+0.00102427531902564i</v>
      </c>
      <c r="J113" s="89" t="str">
        <f t="shared" si="93"/>
        <v>4.92676432451117+2.57428465400344i</v>
      </c>
      <c r="K113" s="89" t="str">
        <f t="shared" si="94"/>
        <v>-0.0000158397893571677-1.23712060062471i</v>
      </c>
      <c r="L113" s="89" t="str">
        <f t="shared" si="95"/>
        <v>0.999975496284507-0.0000128034414878205i</v>
      </c>
      <c r="M113" s="63">
        <f t="shared" si="79"/>
        <v>-181.52059991327963</v>
      </c>
      <c r="N113" s="63">
        <f t="shared" si="80"/>
        <v>-152.51029995663981</v>
      </c>
      <c r="O113" s="63" t="str">
        <f t="shared" si="96"/>
        <v>2.74785076845105E-21</v>
      </c>
      <c r="P113" s="63">
        <f t="shared" si="81"/>
        <v>-205.61006856837409</v>
      </c>
      <c r="Q113" s="63" t="str">
        <f t="shared" si="97"/>
        <v>3.12767768255662E-23</v>
      </c>
      <c r="R113" s="63">
        <f t="shared" si="98"/>
        <v>-225.04778008777012</v>
      </c>
      <c r="S113" s="63" t="str">
        <f t="shared" si="99"/>
        <v>9.14266522576968E-23+5.87747175411144E-39i</v>
      </c>
      <c r="T113" s="63">
        <f t="shared" si="82"/>
        <v>-220.38927182371742</v>
      </c>
      <c r="U113" s="63" t="str">
        <f t="shared" si="100"/>
        <v>3.08679986864802E-19+7.3468396926393E-40i</v>
      </c>
      <c r="V113" s="63">
        <f t="shared" si="83"/>
        <v>-185.1049152690253</v>
      </c>
      <c r="W113" s="63">
        <f t="shared" si="101"/>
        <v>102.64873945531943</v>
      </c>
      <c r="X113" s="63" t="str">
        <f t="shared" si="102"/>
        <v>24.3000016408217-268.906894674828i</v>
      </c>
      <c r="Y113" s="90" t="str">
        <f t="shared" si="103"/>
        <v>1.2367296643852E-10-2.61968043739959E-10i</v>
      </c>
      <c r="Z113" s="90" t="str">
        <f t="shared" si="104"/>
        <v>2.43000016408217E-12-2.68906894674828E-11i</v>
      </c>
      <c r="AA113" s="90" t="str">
        <f t="shared" si="105"/>
        <v>6.183648321926E-11-1.3098402186998E-10i</v>
      </c>
      <c r="AB113" s="90" t="str">
        <f t="shared" si="106"/>
        <v>8.08330406712948E-20+1.83670992315982E-40i</v>
      </c>
      <c r="AC113" s="90">
        <f t="shared" si="84"/>
        <v>-190.9241108417402</v>
      </c>
      <c r="AD113" s="90" t="str">
        <f t="shared" si="107"/>
        <v>4.57065789246343E-18+1.17549435082229E-38i</v>
      </c>
      <c r="AE113" s="63">
        <f t="shared" si="85"/>
        <v>-173.40021283846426</v>
      </c>
      <c r="AF113" s="63" t="str">
        <f t="shared" si="86"/>
        <v>5.254534128192E-16+2.46519032881566E-32i</v>
      </c>
      <c r="AG113" s="63">
        <f t="shared" si="87"/>
        <v>-152.794657828754</v>
      </c>
      <c r="AH113" s="116">
        <v>-175</v>
      </c>
      <c r="AI113" s="63" t="str">
        <f t="shared" si="108"/>
        <v>1.54695625148375E-23</v>
      </c>
      <c r="AJ113" s="134">
        <f t="shared" si="88"/>
        <v>-228.10521968141524</v>
      </c>
      <c r="AK113" s="63">
        <f t="shared" si="109"/>
        <v>-152.7538299927877</v>
      </c>
      <c r="AL113" s="49">
        <f t="shared" si="110"/>
        <v>1.1509130643186152E-9</v>
      </c>
    </row>
    <row r="114" spans="5:38" x14ac:dyDescent="0.25">
      <c r="E114" s="68">
        <v>19952.623149688901</v>
      </c>
      <c r="F114" s="61" t="str">
        <f t="shared" si="78"/>
        <v>125366028.613817i</v>
      </c>
      <c r="G114" s="83" t="str">
        <f t="shared" si="90"/>
        <v>-1.34814680298533+2.92680738436564i</v>
      </c>
      <c r="H114" s="62" t="str">
        <f t="shared" si="91"/>
        <v>0.000016050441247922+7.39315855579606E-06i</v>
      </c>
      <c r="I114" s="62" t="str">
        <f t="shared" si="92"/>
        <v>0.00128401906332433+0.000591433698735326i</v>
      </c>
      <c r="J114" s="89" t="str">
        <f t="shared" si="93"/>
        <v>3.22709188512717+1.48643501042587i</v>
      </c>
      <c r="K114" s="89" t="str">
        <f t="shared" si="94"/>
        <v>-8.15152303193527E-06-1.10259421679603i</v>
      </c>
      <c r="L114" s="89" t="str">
        <f t="shared" si="95"/>
        <v>0.999983949761706-7.39292123419156E-06i</v>
      </c>
      <c r="M114" s="63">
        <f t="shared" si="79"/>
        <v>-182.02059991327965</v>
      </c>
      <c r="N114" s="63">
        <f t="shared" si="80"/>
        <v>-152.51029995663981</v>
      </c>
      <c r="O114" s="63" t="str">
        <f t="shared" si="96"/>
        <v>1.1224312537028E-21</v>
      </c>
      <c r="P114" s="63">
        <f t="shared" si="81"/>
        <v>-209.49840249034497</v>
      </c>
      <c r="Q114" s="63" t="str">
        <f t="shared" si="97"/>
        <v>1.27775575518011E-23</v>
      </c>
      <c r="R114" s="63">
        <f t="shared" si="98"/>
        <v>-228.93552154248809</v>
      </c>
      <c r="S114" s="63" t="str">
        <f t="shared" si="99"/>
        <v>3.73506936954038E-23+2.93873587705572E-39i</v>
      </c>
      <c r="T114" s="63">
        <f t="shared" si="82"/>
        <v>-224.27701327843539</v>
      </c>
      <c r="U114" s="63" t="str">
        <f t="shared" si="100"/>
        <v>1.95124579961727E-19</v>
      </c>
      <c r="V114" s="63">
        <f t="shared" si="83"/>
        <v>-187.0968801881998</v>
      </c>
      <c r="W114" s="63">
        <f t="shared" si="101"/>
        <v>102.64873945531943</v>
      </c>
      <c r="X114" s="63" t="str">
        <f t="shared" si="102"/>
        <v>19.3375953576336-240.082757477298i</v>
      </c>
      <c r="Y114" s="90" t="str">
        <f t="shared" si="103"/>
        <v>1.18838609670458E-10-2.33887682158825E-10i</v>
      </c>
      <c r="Z114" s="90" t="str">
        <f t="shared" si="104"/>
        <v>1.93375953576336E-12-2.40082757477298E-11i</v>
      </c>
      <c r="AA114" s="90" t="str">
        <f t="shared" si="105"/>
        <v>5.9419304835229E-11-1.16943841079412E-10i</v>
      </c>
      <c r="AB114" s="90" t="str">
        <f t="shared" si="106"/>
        <v>5.26481457065989E-20-4.59177480789956E-41i</v>
      </c>
      <c r="AC114" s="90">
        <f t="shared" si="84"/>
        <v>-192.78616920272864</v>
      </c>
      <c r="AD114" s="90" t="str">
        <f t="shared" si="107"/>
        <v>3.63066399904875E-18</v>
      </c>
      <c r="AE114" s="63">
        <f t="shared" si="85"/>
        <v>-174.40013941147998</v>
      </c>
      <c r="AF114" s="63" t="str">
        <f t="shared" si="86"/>
        <v>2.67910014466786E-16</v>
      </c>
      <c r="AG114" s="63">
        <f t="shared" si="87"/>
        <v>-155.72011052176128</v>
      </c>
      <c r="AH114" s="116">
        <v>-175</v>
      </c>
      <c r="AI114" s="63" t="str">
        <f t="shared" si="108"/>
        <v>6.31980802999323E-24+3.67341984631965E-40i</v>
      </c>
      <c r="AJ114" s="134">
        <f t="shared" si="88"/>
        <v>-231.9929611361332</v>
      </c>
      <c r="AK114" s="63">
        <f t="shared" si="109"/>
        <v>-155.65767117467163</v>
      </c>
      <c r="AL114" s="49">
        <f t="shared" si="110"/>
        <v>6.6169583603573162E-10</v>
      </c>
    </row>
    <row r="115" spans="5:38" x14ac:dyDescent="0.25">
      <c r="E115" s="68">
        <v>22387.211385683499</v>
      </c>
      <c r="F115" s="61" t="str">
        <f t="shared" si="78"/>
        <v>140662997.64725i</v>
      </c>
      <c r="G115" s="83" t="str">
        <f t="shared" si="90"/>
        <v>-0.869029819473188+2.13518590055661i</v>
      </c>
      <c r="H115" s="62" t="str">
        <f t="shared" si="91"/>
        <v>0.0000104358667964259+4.24744254623452E-06i</v>
      </c>
      <c r="I115" s="62" t="str">
        <f t="shared" si="92"/>
        <v>0.000834862074436+0.000339788311684506i</v>
      </c>
      <c r="J115" s="89" t="str">
        <f t="shared" si="93"/>
        <v>2.0982372478471+0.853981171010978i</v>
      </c>
      <c r="K115" s="89" t="str">
        <f t="shared" si="94"/>
        <v>-4.17389124993898E-06-0.982693647454376i</v>
      </c>
      <c r="L115" s="89" t="str">
        <f t="shared" si="95"/>
        <v>0.999989564224066-0.0000042473538960563i</v>
      </c>
      <c r="M115" s="63">
        <f t="shared" si="79"/>
        <v>-182.52059991327965</v>
      </c>
      <c r="N115" s="63">
        <f t="shared" si="80"/>
        <v>-152.51029995663981</v>
      </c>
      <c r="O115" s="63" t="str">
        <f t="shared" si="96"/>
        <v>4.56247096919793E-22+2.35098870164458E-38i</v>
      </c>
      <c r="P115" s="63">
        <f t="shared" si="81"/>
        <v>-213.4079988592336</v>
      </c>
      <c r="Q115" s="63" t="str">
        <f t="shared" si="97"/>
        <v>5.19446733245882E-24</v>
      </c>
      <c r="R115" s="63">
        <f t="shared" si="98"/>
        <v>-232.84458980625485</v>
      </c>
      <c r="S115" s="63" t="str">
        <f t="shared" si="99"/>
        <v>1.5184197563493E-23-7.3468396926393E-40i</v>
      </c>
      <c r="T115" s="63">
        <f t="shared" si="82"/>
        <v>-228.18608154220217</v>
      </c>
      <c r="U115" s="63" t="str">
        <f t="shared" si="100"/>
        <v>1.23296377301293E-19-9.18354961579912E-41i</v>
      </c>
      <c r="V115" s="63">
        <f t="shared" si="83"/>
        <v>-189.090496836733</v>
      </c>
      <c r="W115" s="63">
        <f t="shared" si="101"/>
        <v>102.64873945531943</v>
      </c>
      <c r="X115" s="63" t="str">
        <f t="shared" si="102"/>
        <v>15.3828188846842-214.271757325875i</v>
      </c>
      <c r="Y115" s="90" t="str">
        <f t="shared" si="103"/>
        <v>1.14985881917605E-10-2.0874270688842E-10i</v>
      </c>
      <c r="Z115" s="90" t="str">
        <f t="shared" si="104"/>
        <v>1.53828188846842E-12-2.14271757325875E-11i</v>
      </c>
      <c r="AA115" s="90" t="str">
        <f t="shared" si="105"/>
        <v>5.74929409588025E-11-1.0437135344421E-10i</v>
      </c>
      <c r="AB115" s="90" t="str">
        <f t="shared" si="106"/>
        <v>3.45018546761214E-20</v>
      </c>
      <c r="AC115" s="90">
        <f t="shared" si="84"/>
        <v>-194.62157558435266</v>
      </c>
      <c r="AD115" s="90" t="str">
        <f t="shared" si="107"/>
        <v>2.88397130927959E-18+1.46936793852786E-39i</v>
      </c>
      <c r="AE115" s="63">
        <f t="shared" si="85"/>
        <v>-175.40009064439272</v>
      </c>
      <c r="AF115" s="63" t="str">
        <f t="shared" si="86"/>
        <v>1.26599112133179E-16-6.16297582203915E-33i</v>
      </c>
      <c r="AG115" s="63">
        <f t="shared" si="87"/>
        <v>-158.97569340108657</v>
      </c>
      <c r="AH115" s="116">
        <v>-175</v>
      </c>
      <c r="AI115" s="63" t="str">
        <f t="shared" si="108"/>
        <v>2.56919495186177E-24</v>
      </c>
      <c r="AJ115" s="134">
        <f t="shared" si="88"/>
        <v>-235.90202939989996</v>
      </c>
      <c r="AK115" s="63">
        <f t="shared" si="109"/>
        <v>-158.8725641874623</v>
      </c>
      <c r="AL115" s="49">
        <f t="shared" si="110"/>
        <v>3.5413520319188613E-10</v>
      </c>
    </row>
    <row r="116" spans="5:38" x14ac:dyDescent="0.25">
      <c r="E116" s="68">
        <v>25118.8643150959</v>
      </c>
      <c r="F116" s="61" t="str">
        <f t="shared" si="78"/>
        <v>157826479.197648i</v>
      </c>
      <c r="G116" s="83" t="str">
        <f t="shared" si="90"/>
        <v>-0.557873880667866+1.54840860154978i</v>
      </c>
      <c r="H116" s="62" t="str">
        <f t="shared" si="91"/>
        <v>6.74494494825769E-06+2.43012639519664E-06i</v>
      </c>
      <c r="I116" s="62" t="str">
        <f t="shared" si="92"/>
        <v>0.000539592428774158+0.000194407489070116i</v>
      </c>
      <c r="J116" s="89" t="str">
        <f t="shared" si="93"/>
        <v>1.35614368813566+0.488599311572412i</v>
      </c>
      <c r="K116" s="89" t="str">
        <f t="shared" si="94"/>
        <v>-2.12836292372312E-06-0.875829867788276i</v>
      </c>
      <c r="L116" s="89" t="str">
        <f t="shared" si="95"/>
        <v>0.999993255094639-2.43009361337644E-06i</v>
      </c>
      <c r="M116" s="63">
        <f t="shared" si="79"/>
        <v>-183.02059991327965</v>
      </c>
      <c r="N116" s="63">
        <f t="shared" si="80"/>
        <v>-152.51029995663981</v>
      </c>
      <c r="O116" s="63" t="str">
        <f t="shared" si="96"/>
        <v>1.84710463239995E-22</v>
      </c>
      <c r="P116" s="63">
        <f t="shared" si="81"/>
        <v>-217.33508502509488</v>
      </c>
      <c r="Q116" s="63" t="str">
        <f t="shared" si="97"/>
        <v>2.10319468514092E-24</v>
      </c>
      <c r="R116" s="63">
        <f t="shared" si="98"/>
        <v>-236.77120524380243</v>
      </c>
      <c r="S116" s="63" t="str">
        <f t="shared" si="99"/>
        <v>6.14794964906472E-24</v>
      </c>
      <c r="T116" s="63">
        <f t="shared" si="82"/>
        <v>-232.11269697974978</v>
      </c>
      <c r="U116" s="63" t="str">
        <f t="shared" si="100"/>
        <v>7.78856332703564E-20</v>
      </c>
      <c r="V116" s="63">
        <f t="shared" si="83"/>
        <v>-191.08542644597381</v>
      </c>
      <c r="W116" s="63">
        <f t="shared" si="101"/>
        <v>102.64873945531943</v>
      </c>
      <c r="X116" s="63" t="str">
        <f t="shared" si="102"/>
        <v>12.2331910960443-191.181265699483i</v>
      </c>
      <c r="Y116" s="90" t="str">
        <f t="shared" si="103"/>
        <v>1.11917526860005E-10-1.86248040369458E-10i</v>
      </c>
      <c r="Z116" s="90" t="str">
        <f t="shared" si="104"/>
        <v>1.22331910960443E-12-1.91181265699483E-11i</v>
      </c>
      <c r="AA116" s="90" t="str">
        <f t="shared" si="105"/>
        <v>5.59587634300025E-11-9.3124020184729E-11i</v>
      </c>
      <c r="AB116" s="90" t="str">
        <f t="shared" si="106"/>
        <v>2.27762056496657E-20+1.14794370197489E-41i</v>
      </c>
      <c r="AC116" s="90">
        <f t="shared" si="84"/>
        <v>-196.42518624535506</v>
      </c>
      <c r="AD116" s="90" t="str">
        <f t="shared" si="107"/>
        <v>2.29083674951446E-18-7.3468396926393E-40i</v>
      </c>
      <c r="AE116" s="63">
        <f t="shared" si="85"/>
        <v>-176.40005858567559</v>
      </c>
      <c r="AF116" s="63" t="str">
        <f t="shared" si="86"/>
        <v>5.41047709332725E-17-3.08148791101958E-33i</v>
      </c>
      <c r="AG116" s="63">
        <f t="shared" si="87"/>
        <v>-162.66764437321572</v>
      </c>
      <c r="AH116" s="116">
        <v>-175</v>
      </c>
      <c r="AI116" s="63" t="str">
        <f t="shared" si="108"/>
        <v>1.04024471076782E-24</v>
      </c>
      <c r="AJ116" s="134">
        <f t="shared" si="88"/>
        <v>-239.82864483744763</v>
      </c>
      <c r="AK116" s="63">
        <f t="shared" si="109"/>
        <v>-162.47978736610165</v>
      </c>
      <c r="AL116" s="49">
        <f t="shared" si="110"/>
        <v>1.7315968318499623E-10</v>
      </c>
    </row>
    <row r="117" spans="5:38" x14ac:dyDescent="0.25">
      <c r="E117" s="68">
        <v>28183.829312644601</v>
      </c>
      <c r="F117" s="61" t="str">
        <f t="shared" si="78"/>
        <v>177084222.237266i</v>
      </c>
      <c r="G117" s="83" t="str">
        <f t="shared" si="90"/>
        <v>-0.356919386871179+1.11749592021268i</v>
      </c>
      <c r="H117" s="62" t="str">
        <f t="shared" si="91"/>
        <v>0.0000043384917946944+1.38568007569392E-06i</v>
      </c>
      <c r="I117" s="62" t="str">
        <f t="shared" si="92"/>
        <v>0.000347077991387945+0.000110853444179699i</v>
      </c>
      <c r="J117" s="89" t="str">
        <f t="shared" si="93"/>
        <v>0.872302134373656+0.278605092688056i</v>
      </c>
      <c r="K117" s="89" t="str">
        <f t="shared" si="94"/>
        <v>-1.08163787153438E-06-0.78058606974611i</v>
      </c>
      <c r="L117" s="89" t="str">
        <f t="shared" si="95"/>
        <v>0.999995661525112-1.38566805224624E-06i</v>
      </c>
      <c r="M117" s="63">
        <f t="shared" si="79"/>
        <v>-183.52059991327963</v>
      </c>
      <c r="N117" s="63">
        <f t="shared" si="80"/>
        <v>-152.51029995663981</v>
      </c>
      <c r="O117" s="63" t="str">
        <f t="shared" si="96"/>
        <v>7.45339000924762E-23</v>
      </c>
      <c r="P117" s="63">
        <f t="shared" si="81"/>
        <v>-221.27646153097862</v>
      </c>
      <c r="Q117" s="63" t="str">
        <f t="shared" si="97"/>
        <v>8.48757809003392E-25</v>
      </c>
      <c r="R117" s="63">
        <f t="shared" si="98"/>
        <v>-240.71216216963009</v>
      </c>
      <c r="S117" s="63" t="str">
        <f t="shared" si="99"/>
        <v>2.48104481761455E-24-9.18354961579912E-41i</v>
      </c>
      <c r="T117" s="63">
        <f t="shared" si="82"/>
        <v>-236.05365390557745</v>
      </c>
      <c r="U117" s="63" t="str">
        <f t="shared" si="100"/>
        <v>4.91881027433631E-20</v>
      </c>
      <c r="V117" s="63">
        <f t="shared" si="83"/>
        <v>-193.08139928487196</v>
      </c>
      <c r="W117" s="63">
        <f t="shared" si="101"/>
        <v>102.64873945531943</v>
      </c>
      <c r="X117" s="63" t="str">
        <f t="shared" si="102"/>
        <v>9.72613707187508-170.540426461648i</v>
      </c>
      <c r="Y117" s="90" t="str">
        <f t="shared" si="103"/>
        <v>1.09475164647403E-10-1.66139815614473E-10i</v>
      </c>
      <c r="Z117" s="90" t="str">
        <f t="shared" si="104"/>
        <v>9.72613707187508E-13-1.70540426461648E-11i</v>
      </c>
      <c r="AA117" s="90" t="str">
        <f t="shared" si="105"/>
        <v>5.47375823237015E-11-8.30699078072365E-11i</v>
      </c>
      <c r="AB117" s="90" t="str">
        <f t="shared" si="106"/>
        <v>1.51645760235954E-20</v>
      </c>
      <c r="AC117" s="90">
        <f t="shared" si="84"/>
        <v>-198.19169727337288</v>
      </c>
      <c r="AD117" s="90" t="str">
        <f t="shared" si="107"/>
        <v>1.81968506919476E-18+3.67341984631965E-40i</v>
      </c>
      <c r="AE117" s="63">
        <f t="shared" si="85"/>
        <v>-177.4000376835875</v>
      </c>
      <c r="AF117" s="63" t="str">
        <f t="shared" si="86"/>
        <v>2.01462617225128E-17</v>
      </c>
      <c r="AG117" s="63">
        <f t="shared" si="87"/>
        <v>-166.95805528376582</v>
      </c>
      <c r="AH117" s="116">
        <v>-175</v>
      </c>
      <c r="AI117" s="63" t="str">
        <f t="shared" si="108"/>
        <v>4.19797476561002E-25</v>
      </c>
      <c r="AJ117" s="134">
        <f t="shared" si="88"/>
        <v>-243.76960176327526</v>
      </c>
      <c r="AK117" s="63">
        <f t="shared" si="109"/>
        <v>-166.56978055955898</v>
      </c>
      <c r="AL117" s="49">
        <f t="shared" si="110"/>
        <v>7.5761307853542552E-11</v>
      </c>
    </row>
    <row r="118" spans="5:38" x14ac:dyDescent="0.25">
      <c r="E118" s="68">
        <v>31622.776601683901</v>
      </c>
      <c r="F118" s="61" t="str">
        <f t="shared" si="78"/>
        <v>198691765.315923i</v>
      </c>
      <c r="G118" s="83" t="str">
        <f t="shared" si="90"/>
        <v>-0.227725731468164+0.803388939988674i</v>
      </c>
      <c r="H118" s="62" t="str">
        <f t="shared" si="91"/>
        <v>2.77983284996235E-06+7.87961394048855E-07i</v>
      </c>
      <c r="I118" s="62" t="str">
        <f t="shared" si="92"/>
        <v>0.000222386059471291+0.0000630365610611758i</v>
      </c>
      <c r="J118" s="89" t="str">
        <f t="shared" si="93"/>
        <v>0.558917128556633+0.158428157709883i</v>
      </c>
      <c r="K118" s="89" t="str">
        <f t="shared" si="94"/>
        <v>-5.48182549248387E-07-0.695699151309254i</v>
      </c>
      <c r="L118" s="89" t="str">
        <f t="shared" si="95"/>
        <v>0.999997220174257-7.87957013264697E-07i</v>
      </c>
      <c r="M118" s="63">
        <f t="shared" si="79"/>
        <v>-184.02059991327963</v>
      </c>
      <c r="N118" s="63">
        <f t="shared" si="80"/>
        <v>-152.51029995663981</v>
      </c>
      <c r="O118" s="63" t="str">
        <f t="shared" si="96"/>
        <v>2.99954258348755E-23</v>
      </c>
      <c r="P118" s="63">
        <f t="shared" si="81"/>
        <v>-225.22944968151467</v>
      </c>
      <c r="Q118" s="63" t="str">
        <f t="shared" si="97"/>
        <v>3.41603543087746E-25-1.14794370197489E-41i</v>
      </c>
      <c r="R118" s="63">
        <f t="shared" si="98"/>
        <v>-244.66477633488074</v>
      </c>
      <c r="S118" s="63" t="str">
        <f t="shared" si="99"/>
        <v>9.98557764377791E-25-4.59177480789956E-41i</v>
      </c>
      <c r="T118" s="63">
        <f t="shared" si="82"/>
        <v>-240.0062680708281</v>
      </c>
      <c r="U118" s="63" t="str">
        <f t="shared" si="100"/>
        <v>3.10584599628589E-20</v>
      </c>
      <c r="V118" s="63">
        <f t="shared" si="83"/>
        <v>-195.07820082613063</v>
      </c>
      <c r="W118" s="63">
        <f t="shared" si="101"/>
        <v>102.64873945531943</v>
      </c>
      <c r="X118" s="63" t="str">
        <f t="shared" si="102"/>
        <v>7.73141308318555-152.100643249889i</v>
      </c>
      <c r="Y118" s="90" t="str">
        <f t="shared" si="103"/>
        <v>1.07531912349056E-10-1.4817585102065E-10i</v>
      </c>
      <c r="Z118" s="90" t="str">
        <f t="shared" si="104"/>
        <v>7.73141308318555E-13-1.52100643249889E-11i</v>
      </c>
      <c r="AA118" s="90" t="str">
        <f t="shared" si="105"/>
        <v>5.3765956174528E-11-7.4087925510325E-11i</v>
      </c>
      <c r="AB118" s="90" t="str">
        <f t="shared" si="106"/>
        <v>1.0195630203488E-20</v>
      </c>
      <c r="AC118" s="90">
        <f t="shared" si="84"/>
        <v>-199.9158592482076</v>
      </c>
      <c r="AD118" s="90" t="str">
        <f t="shared" si="107"/>
        <v>1.4454317346166E-18</v>
      </c>
      <c r="AE118" s="63">
        <f t="shared" si="85"/>
        <v>-178.40002414529056</v>
      </c>
      <c r="AF118" s="63" t="str">
        <f t="shared" si="86"/>
        <v>6.15138003527794E-18</v>
      </c>
      <c r="AG118" s="63">
        <f t="shared" si="87"/>
        <v>-172.11027441221142</v>
      </c>
      <c r="AH118" s="116">
        <v>-175</v>
      </c>
      <c r="AI118" s="63" t="str">
        <f t="shared" si="108"/>
        <v>1.68957862715771E-25+5.73971850987445E-42i</v>
      </c>
      <c r="AJ118" s="134">
        <f t="shared" si="88"/>
        <v>-247.72221592852588</v>
      </c>
      <c r="AK118" s="63">
        <f t="shared" si="109"/>
        <v>-171.17014809874516</v>
      </c>
      <c r="AL118" s="49">
        <f t="shared" si="110"/>
        <v>2.9472074700344186E-11</v>
      </c>
    </row>
    <row r="119" spans="5:38" x14ac:dyDescent="0.25">
      <c r="E119" s="68">
        <v>35481.338923357704</v>
      </c>
      <c r="F119" s="61" t="str">
        <f t="shared" si="78"/>
        <v>222935827.4023i</v>
      </c>
      <c r="G119" s="83" t="str">
        <f t="shared" si="90"/>
        <v>-0.144973861026583+0.575780821271802i</v>
      </c>
      <c r="H119" s="62" t="str">
        <f t="shared" si="91"/>
        <v>1.77562000346419E-06+4.47077217767769E-07i</v>
      </c>
      <c r="I119" s="62" t="str">
        <f t="shared" si="92"/>
        <v>0.00014204936404163+0.0000357660504074726i</v>
      </c>
      <c r="J119" s="89" t="str">
        <f t="shared" si="93"/>
        <v>0.357008990816229+0.0898898889664307i</v>
      </c>
      <c r="K119" s="89" t="str">
        <f t="shared" si="94"/>
        <v>-2.77206671464704E-07-0.620043143917047i</v>
      </c>
      <c r="L119" s="89" t="str">
        <f t="shared" si="95"/>
        <v>0.999998224382953-4.4707563009341E-07i</v>
      </c>
      <c r="M119" s="63">
        <f t="shared" si="79"/>
        <v>-184.52059991327963</v>
      </c>
      <c r="N119" s="63">
        <f t="shared" si="80"/>
        <v>-152.51029995663981</v>
      </c>
      <c r="O119" s="63" t="str">
        <f t="shared" si="96"/>
        <v>1.20452825321977E-23</v>
      </c>
      <c r="P119" s="63">
        <f t="shared" si="81"/>
        <v>-229.19183008805084</v>
      </c>
      <c r="Q119" s="63" t="str">
        <f t="shared" si="97"/>
        <v>1.37188484974971E-25</v>
      </c>
      <c r="R119" s="63">
        <f t="shared" si="98"/>
        <v>-248.62682339953619</v>
      </c>
      <c r="S119" s="63" t="str">
        <f t="shared" si="99"/>
        <v>4.01022265801836E-25</v>
      </c>
      <c r="T119" s="63">
        <f t="shared" si="82"/>
        <v>-243.96831513548349</v>
      </c>
      <c r="U119" s="63" t="str">
        <f t="shared" si="100"/>
        <v>1.9608029128792E-20+1.43492962746861E-42i</v>
      </c>
      <c r="V119" s="63">
        <f t="shared" si="83"/>
        <v>-197.07566056587464</v>
      </c>
      <c r="W119" s="63">
        <f t="shared" si="101"/>
        <v>102.64873945531943</v>
      </c>
      <c r="X119" s="63" t="str">
        <f t="shared" si="102"/>
        <v>6.14486055163862-135.635214717722i</v>
      </c>
      <c r="Y119" s="90" t="str">
        <f t="shared" si="103"/>
        <v>1.05986299085839E-10-1.32135295024018E-10i</v>
      </c>
      <c r="Z119" s="90" t="str">
        <f t="shared" si="104"/>
        <v>6.14486055163862E-13-1.35635214717722E-11i</v>
      </c>
      <c r="AA119" s="90" t="str">
        <f t="shared" si="105"/>
        <v>5.29931495429195E-11-6.6067647512009E-11i</v>
      </c>
      <c r="AB119" s="90" t="str">
        <f t="shared" si="106"/>
        <v>6.92984862717027E-21</v>
      </c>
      <c r="AC119" s="90">
        <f t="shared" si="84"/>
        <v>-201.59276251838793</v>
      </c>
      <c r="AD119" s="90" t="str">
        <f t="shared" si="107"/>
        <v>1.14814954413843E-18</v>
      </c>
      <c r="AE119" s="63">
        <f t="shared" si="85"/>
        <v>-179.40001542282658</v>
      </c>
      <c r="AF119" s="63" t="str">
        <f t="shared" si="86"/>
        <v>1.38085930666768E-18+4.81482486096809E-35i</v>
      </c>
      <c r="AG119" s="63">
        <f t="shared" si="87"/>
        <v>-178.59850568670151</v>
      </c>
      <c r="AH119" s="116">
        <v>-175</v>
      </c>
      <c r="AI119" s="63" t="str">
        <f t="shared" si="108"/>
        <v>6.78537259920396E-26</v>
      </c>
      <c r="AJ119" s="134">
        <f t="shared" si="88"/>
        <v>-251.68426299318131</v>
      </c>
      <c r="AK119" s="63">
        <f t="shared" si="109"/>
        <v>-175.92514023506536</v>
      </c>
      <c r="AL119" s="49">
        <f t="shared" si="110"/>
        <v>1.1063982894385888E-11</v>
      </c>
    </row>
    <row r="120" spans="5:38" x14ac:dyDescent="0.25">
      <c r="E120" s="68">
        <v>39810.717055349902</v>
      </c>
      <c r="F120" s="61" t="str">
        <f t="shared" si="78"/>
        <v>250138112.470458i</v>
      </c>
      <c r="G120" s="83" t="str">
        <f t="shared" si="90"/>
        <v>-0.0921276484183827+0.41163126882784i</v>
      </c>
      <c r="H120" s="62" t="str">
        <f t="shared" si="91"/>
        <v>0.0000011313609690429+2.53211146682489E-07i</v>
      </c>
      <c r="I120" s="62" t="str">
        <f t="shared" si="92"/>
        <v>0.00009050878025459+0.0000202568458989622i</v>
      </c>
      <c r="J120" s="89" t="str">
        <f t="shared" si="93"/>
        <v>0.227473375306554+0.0509110066088645i</v>
      </c>
      <c r="K120" s="89" t="str">
        <f t="shared" si="94"/>
        <v>-1.39927964986655E-07-0.552614389725719i</v>
      </c>
      <c r="L120" s="89" t="str">
        <f t="shared" si="95"/>
        <v>0.999998868640246-2.53210573737028E-07i</v>
      </c>
      <c r="M120" s="63">
        <f t="shared" si="79"/>
        <v>-185.02059991327965</v>
      </c>
      <c r="N120" s="63">
        <f t="shared" si="80"/>
        <v>-152.51029995663981</v>
      </c>
      <c r="O120" s="63" t="str">
        <f t="shared" si="96"/>
        <v>4.82860922919448E-24</v>
      </c>
      <c r="P120" s="63">
        <f t="shared" si="81"/>
        <v>-233.16177939861919</v>
      </c>
      <c r="Q120" s="63" t="str">
        <f t="shared" si="97"/>
        <v>5.49987020315194E-26+1.43492962746861E-42i</v>
      </c>
      <c r="R120" s="63">
        <f t="shared" si="98"/>
        <v>-252.59647559727583</v>
      </c>
      <c r="S120" s="63" t="str">
        <f t="shared" si="99"/>
        <v>1.60769353993988E-25</v>
      </c>
      <c r="T120" s="63">
        <f t="shared" si="82"/>
        <v>-247.93796733322313</v>
      </c>
      <c r="U120" s="63" t="str">
        <f t="shared" si="100"/>
        <v>1.23775786727144E-20</v>
      </c>
      <c r="V120" s="63">
        <f t="shared" si="83"/>
        <v>-199.07364304583055</v>
      </c>
      <c r="W120" s="63">
        <f t="shared" si="101"/>
        <v>102.64873945531943</v>
      </c>
      <c r="X120" s="63" t="str">
        <f t="shared" si="102"/>
        <v>4.8832979601954-120.938428729332i</v>
      </c>
      <c r="Y120" s="90" t="str">
        <f t="shared" si="103"/>
        <v>1.04757289749594E-10-1.17817743667445E-10i</v>
      </c>
      <c r="Z120" s="90" t="str">
        <f t="shared" si="104"/>
        <v>4.8832979601954E-13-1.20938428729332E-11i</v>
      </c>
      <c r="AA120" s="90" t="str">
        <f t="shared" si="105"/>
        <v>5.2378644874797E-11-5.89088718337225E-11i</v>
      </c>
      <c r="AB120" s="90" t="str">
        <f t="shared" si="106"/>
        <v>4.7663191073009E-21+1.79366203433577E-43i</v>
      </c>
      <c r="AC120" s="90">
        <f t="shared" si="84"/>
        <v>-203.21816884796823</v>
      </c>
      <c r="AD120" s="90" t="str">
        <f t="shared" si="107"/>
        <v>9.12008775732407E-19</v>
      </c>
      <c r="AE120" s="63">
        <f t="shared" si="85"/>
        <v>-180.4000098268713</v>
      </c>
      <c r="AF120" s="63" t="str">
        <f t="shared" si="86"/>
        <v>1.80184049935438E-19</v>
      </c>
      <c r="AG120" s="63">
        <f t="shared" si="87"/>
        <v>-187.4428365581872</v>
      </c>
      <c r="AH120" s="116">
        <v>-175</v>
      </c>
      <c r="AI120" s="63" t="str">
        <f t="shared" si="108"/>
        <v>2.72024788249932E-26</v>
      </c>
      <c r="AJ120" s="134">
        <f t="shared" si="88"/>
        <v>-255.65391519092094</v>
      </c>
      <c r="AK120" s="63">
        <f t="shared" si="109"/>
        <v>-179.54934624432897</v>
      </c>
      <c r="AL120" s="49">
        <f t="shared" si="110"/>
        <v>5.3887854730951568E-12</v>
      </c>
    </row>
    <row r="121" spans="5:38" x14ac:dyDescent="0.25">
      <c r="E121" s="68">
        <v>44668.359215096498</v>
      </c>
      <c r="F121" s="61" t="str">
        <f t="shared" si="78"/>
        <v>280659578.316114i</v>
      </c>
      <c r="G121" s="83" t="str">
        <f t="shared" si="90"/>
        <v>-0.058460905007063+0.293694394202839i</v>
      </c>
      <c r="H121" s="62" t="str">
        <f t="shared" si="91"/>
        <v>7.19429913013799E-07+1.43205061567814E-07i</v>
      </c>
      <c r="I121" s="62" t="str">
        <f t="shared" si="92"/>
        <v>0.0000575543532753935+0.0000114563884412819i</v>
      </c>
      <c r="J121" s="89" t="str">
        <f t="shared" si="93"/>
        <v>0.14464986674567+0.0287930446110418i</v>
      </c>
      <c r="K121" s="89" t="str">
        <f t="shared" si="94"/>
        <v>-7.05310621816564E-08-0.492518296152629i</v>
      </c>
      <c r="L121" s="89" t="str">
        <f t="shared" si="95"/>
        <v>0.999999280570587-1.43204855516024E-07i</v>
      </c>
      <c r="M121" s="63">
        <f t="shared" si="79"/>
        <v>-185.52059991327965</v>
      </c>
      <c r="N121" s="63">
        <f t="shared" si="80"/>
        <v>-152.51029995663981</v>
      </c>
      <c r="O121" s="63" t="str">
        <f t="shared" si="96"/>
        <v>1.93294287043871E-24+4.59177480789956E-41i</v>
      </c>
      <c r="P121" s="63">
        <f t="shared" si="81"/>
        <v>-237.13780981677536</v>
      </c>
      <c r="Q121" s="63" t="str">
        <f t="shared" si="97"/>
        <v>2.20178992622393E-26</v>
      </c>
      <c r="R121" s="63">
        <f t="shared" si="98"/>
        <v>-256.57224119621276</v>
      </c>
      <c r="S121" s="63" t="str">
        <f t="shared" si="99"/>
        <v>6.43615814545273E-26-1.43492962746861E-42i</v>
      </c>
      <c r="T121" s="63">
        <f t="shared" si="82"/>
        <v>-251.91373293216009</v>
      </c>
      <c r="U121" s="63" t="str">
        <f t="shared" si="100"/>
        <v>7.81260617368725E-21-1.79366203433577E-43i</v>
      </c>
      <c r="V121" s="63">
        <f t="shared" si="83"/>
        <v>-201.07204067525225</v>
      </c>
      <c r="W121" s="63">
        <f t="shared" si="101"/>
        <v>102.64873945531943</v>
      </c>
      <c r="X121" s="63" t="str">
        <f t="shared" si="102"/>
        <v>3.88036968766618-107.824335407256i</v>
      </c>
      <c r="Y121" s="90" t="str">
        <f t="shared" si="103"/>
        <v>1.03780240954011E-10-1.05042045308495E-10i</v>
      </c>
      <c r="Z121" s="90" t="str">
        <f t="shared" si="104"/>
        <v>3.88036968766618E-13-1.07824335407256E-11i</v>
      </c>
      <c r="AA121" s="90" t="str">
        <f t="shared" si="105"/>
        <v>5.18901204770055E-11-5.25210226542475E-11i</v>
      </c>
      <c r="AB121" s="90" t="str">
        <f t="shared" si="106"/>
        <v>3.31982583043515E-21</v>
      </c>
      <c r="AC121" s="90">
        <f t="shared" si="84"/>
        <v>-204.78884700291471</v>
      </c>
      <c r="AD121" s="90" t="str">
        <f t="shared" si="107"/>
        <v>7.24434917714296E-19</v>
      </c>
      <c r="AE121" s="63">
        <f t="shared" si="85"/>
        <v>-181.40000624888671</v>
      </c>
      <c r="AF121" s="63" t="str">
        <f t="shared" si="86"/>
        <v>6.61803621381073E-21-1.88079096131566E-37i</v>
      </c>
      <c r="AG121" s="63">
        <f t="shared" si="87"/>
        <v>-201.79270860715732</v>
      </c>
      <c r="AH121" s="116">
        <v>-175</v>
      </c>
      <c r="AI121" s="63" t="str">
        <f t="shared" si="108"/>
        <v>1.08901013356397E-26</v>
      </c>
      <c r="AJ121" s="134">
        <f t="shared" si="88"/>
        <v>-259.6296807898579</v>
      </c>
      <c r="AK121" s="63">
        <f t="shared" si="109"/>
        <v>-181.29486413427355</v>
      </c>
      <c r="AL121" s="49">
        <f t="shared" si="110"/>
        <v>4.0451916837777666E-12</v>
      </c>
    </row>
    <row r="122" spans="5:38" x14ac:dyDescent="0.25">
      <c r="E122" s="68">
        <v>50118.723362727404</v>
      </c>
      <c r="F122" s="61" t="str">
        <f t="shared" si="78"/>
        <v>314905226.247287i</v>
      </c>
      <c r="G122" s="83" t="str">
        <f t="shared" si="90"/>
        <v>-0.0370544321141415+0.209215082336805i</v>
      </c>
      <c r="H122" s="62" t="str">
        <f t="shared" si="91"/>
        <v>4.5675764362705E-07+8.08971079396041E-08i</v>
      </c>
      <c r="I122" s="62" t="str">
        <f t="shared" si="92"/>
        <v>0.0000365405953235148+6.47176272311278E-06i</v>
      </c>
      <c r="J122" s="89" t="str">
        <f t="shared" si="93"/>
        <v>0.0918365326609211+0.016265313781366i</v>
      </c>
      <c r="K122" s="89" t="str">
        <f t="shared" si="94"/>
        <v>-3.55103767503301E-08-0.438957508795953i</v>
      </c>
      <c r="L122" s="89" t="str">
        <f t="shared" si="95"/>
        <v>0.999999543242562-8.089703403891E-08i</v>
      </c>
      <c r="M122" s="63">
        <f t="shared" si="79"/>
        <v>-186.02059991327963</v>
      </c>
      <c r="N122" s="63">
        <f t="shared" si="80"/>
        <v>-152.51029995663981</v>
      </c>
      <c r="O122" s="63" t="str">
        <f t="shared" si="96"/>
        <v>7.72909419053939E-25-2.29588740394978E-41i</v>
      </c>
      <c r="P122" s="63">
        <f t="shared" si="81"/>
        <v>-241.118714001439</v>
      </c>
      <c r="Q122" s="63" t="str">
        <f t="shared" si="97"/>
        <v>8.80458854363046E-27</v>
      </c>
      <c r="R122" s="63">
        <f t="shared" si="98"/>
        <v>-260.55290934688878</v>
      </c>
      <c r="S122" s="63" t="str">
        <f t="shared" si="99"/>
        <v>2.57371166965198E-26+7.17464813734306E-43i</v>
      </c>
      <c r="T122" s="63">
        <f t="shared" si="82"/>
        <v>-255.89440108283614</v>
      </c>
      <c r="U122" s="63" t="str">
        <f t="shared" si="100"/>
        <v>4.93086598620122E-21</v>
      </c>
      <c r="V122" s="63">
        <f t="shared" si="83"/>
        <v>-203.07076800803728</v>
      </c>
      <c r="W122" s="63">
        <f t="shared" si="101"/>
        <v>102.64873945531943</v>
      </c>
      <c r="X122" s="63" t="str">
        <f t="shared" si="102"/>
        <v>3.08318895771401-96.1253516615774i</v>
      </c>
      <c r="Y122" s="90" t="str">
        <f t="shared" si="103"/>
        <v>1.0300363060869E-10-9.36449411572351E-11i</v>
      </c>
      <c r="Z122" s="90" t="str">
        <f t="shared" si="104"/>
        <v>3.08318895771401E-13-9.61253516615774E-12i</v>
      </c>
      <c r="AA122" s="90" t="str">
        <f t="shared" si="105"/>
        <v>5.1501815304345E-11-4.68224705786175E-11i</v>
      </c>
      <c r="AB122" s="90" t="str">
        <f t="shared" si="106"/>
        <v>2.34268685112395E-21-2.24207754291971E-44i</v>
      </c>
      <c r="AC122" s="90">
        <f t="shared" si="84"/>
        <v>-206.30285760023614</v>
      </c>
      <c r="AD122" s="90" t="str">
        <f t="shared" si="107"/>
        <v>5.75439411664332E-19+5.73971850987445E-42i</v>
      </c>
      <c r="AE122" s="63">
        <f t="shared" si="85"/>
        <v>-182.40000396734561</v>
      </c>
      <c r="AF122" s="63" t="str">
        <f t="shared" si="86"/>
        <v>7.02393472185987E-28</v>
      </c>
      <c r="AG122" s="63">
        <f t="shared" si="87"/>
        <v>-271.53419533273336</v>
      </c>
      <c r="AH122" s="116">
        <v>-175</v>
      </c>
      <c r="AI122" s="63" t="str">
        <f t="shared" si="108"/>
        <v>4.35476883224674E-27+8.96831017167883E-44i</v>
      </c>
      <c r="AJ122" s="134">
        <f t="shared" si="88"/>
        <v>-263.61034894053392</v>
      </c>
      <c r="AK122" s="63">
        <f t="shared" si="109"/>
        <v>-182.34544713832514</v>
      </c>
      <c r="AL122" s="49">
        <f t="shared" si="110"/>
        <v>3.5635331674332212E-12</v>
      </c>
    </row>
    <row r="123" spans="5:38" x14ac:dyDescent="0.25">
      <c r="E123" s="68">
        <v>56234.132519035098</v>
      </c>
      <c r="F123" s="61" t="str">
        <f t="shared" si="78"/>
        <v>353329475.205591i</v>
      </c>
      <c r="G123" s="83" t="str">
        <f t="shared" si="90"/>
        <v>-0.0234646402431557+0.148846913774727i</v>
      </c>
      <c r="H123" s="62" t="str">
        <f t="shared" si="91"/>
        <v>2.8962274704249E-07+4.56569329739129E-08i</v>
      </c>
      <c r="I123" s="62" t="str">
        <f t="shared" si="92"/>
        <v>0.0000231698132196585+3.65255252218811E-06i</v>
      </c>
      <c r="J123" s="89" t="str">
        <f t="shared" si="93"/>
        <v>0.0582320919967416+0.00917986573644569i</v>
      </c>
      <c r="K123" s="89" t="str">
        <f t="shared" si="94"/>
        <v>-1.78619620968053E-08-0.391221356901956i</v>
      </c>
      <c r="L123" s="89" t="str">
        <f t="shared" si="95"/>
        <v>0.999999710377332-4.56569065273513E-08i</v>
      </c>
      <c r="M123" s="63">
        <f t="shared" si="79"/>
        <v>-186.52059991327963</v>
      </c>
      <c r="N123" s="63">
        <f t="shared" si="80"/>
        <v>-152.51029995663981</v>
      </c>
      <c r="O123" s="63" t="str">
        <f t="shared" si="96"/>
        <v>3.08779420764322E-25-5.73971850987445E-42i</v>
      </c>
      <c r="P123" s="63">
        <f t="shared" si="81"/>
        <v>-245.1035165181531</v>
      </c>
      <c r="Q123" s="63" t="str">
        <f t="shared" si="97"/>
        <v>3.51762752780805E-27</v>
      </c>
      <c r="R123" s="63">
        <f t="shared" si="98"/>
        <v>-264.53750148727801</v>
      </c>
      <c r="S123" s="63" t="str">
        <f t="shared" si="99"/>
        <v>1.02825463937871E-26</v>
      </c>
      <c r="T123" s="63">
        <f t="shared" si="82"/>
        <v>-259.87899322322528</v>
      </c>
      <c r="U123" s="63" t="str">
        <f t="shared" si="100"/>
        <v>3.11189031640637E-21</v>
      </c>
      <c r="V123" s="63">
        <f t="shared" si="83"/>
        <v>-205.0697571882211</v>
      </c>
      <c r="W123" s="63">
        <f t="shared" si="101"/>
        <v>102.64873945531943</v>
      </c>
      <c r="X123" s="63" t="str">
        <f t="shared" si="102"/>
        <v>2.44963330892806-85.6908009556072i</v>
      </c>
      <c r="Y123" s="90" t="str">
        <f t="shared" si="103"/>
        <v>1.02386423176677E-10-8.34796427216784E-11i</v>
      </c>
      <c r="Z123" s="90" t="str">
        <f t="shared" si="104"/>
        <v>2.44963330892806E-13-8.56908009556072E-12i</v>
      </c>
      <c r="AA123" s="90" t="str">
        <f t="shared" si="105"/>
        <v>5.11932115883385E-11-4.17398213608392E-11i</v>
      </c>
      <c r="AB123" s="90" t="str">
        <f t="shared" si="106"/>
        <v>1.67504582740731E-21</v>
      </c>
      <c r="AC123" s="90">
        <f t="shared" si="84"/>
        <v>-207.7597330664633</v>
      </c>
      <c r="AD123" s="90" t="str">
        <f t="shared" si="107"/>
        <v>4.57087924848708E-19-2.86985925493723E-42i</v>
      </c>
      <c r="AE123" s="63">
        <f t="shared" si="85"/>
        <v>-183.40000251563094</v>
      </c>
      <c r="AF123" s="63" t="str">
        <f t="shared" si="86"/>
        <v>1.92232076921943E-21-4.70197740328915E-38i</v>
      </c>
      <c r="AG123" s="63">
        <f t="shared" si="87"/>
        <v>-207.16174141808767</v>
      </c>
      <c r="AH123" s="116">
        <v>-175</v>
      </c>
      <c r="AI123" s="63" t="str">
        <f t="shared" si="108"/>
        <v>1.7398263014384E-27</v>
      </c>
      <c r="AJ123" s="134">
        <f t="shared" si="88"/>
        <v>-267.59494108092315</v>
      </c>
      <c r="AK123" s="63">
        <f t="shared" si="109"/>
        <v>-183.33671590967765</v>
      </c>
      <c r="AL123" s="49">
        <f t="shared" si="110"/>
        <v>3.1823938623846369E-12</v>
      </c>
    </row>
    <row r="124" spans="5:38" x14ac:dyDescent="0.25">
      <c r="E124" s="68">
        <v>63095.734448019502</v>
      </c>
      <c r="F124" s="61" t="str">
        <f t="shared" si="78"/>
        <v>396442191.629501i</v>
      </c>
      <c r="G124" s="83" t="str">
        <f t="shared" si="90"/>
        <v>-0.0148479771431186+0.105790788984363i</v>
      </c>
      <c r="H124" s="62" t="str">
        <f t="shared" si="91"/>
        <v>1.83459704749895E-07+2.57489856060376E-08i</v>
      </c>
      <c r="I124" s="62" t="str">
        <f t="shared" si="92"/>
        <v>0.0000146767737404359+2.05991809265902E-06i</v>
      </c>
      <c r="J124" s="89" t="str">
        <f t="shared" si="93"/>
        <v>0.0368867556490824+0.00517713883751541i</v>
      </c>
      <c r="K124" s="89" t="str">
        <f t="shared" si="94"/>
        <v>-8.9780629457276E-09-0.348676438373369i</v>
      </c>
      <c r="L124" s="89" t="str">
        <f t="shared" si="95"/>
        <v>0.999999816540333-2.57489761582378E-08i</v>
      </c>
      <c r="M124" s="63">
        <f t="shared" si="79"/>
        <v>-187.02059991327963</v>
      </c>
      <c r="N124" s="63">
        <f t="shared" si="80"/>
        <v>-152.51029995663981</v>
      </c>
      <c r="O124" s="63" t="str">
        <f t="shared" si="96"/>
        <v>1.23269828427084E-25</v>
      </c>
      <c r="P124" s="63">
        <f t="shared" si="81"/>
        <v>-249.09143208490136</v>
      </c>
      <c r="Q124" s="63" t="str">
        <f t="shared" si="97"/>
        <v>1.404355454088E-27</v>
      </c>
      <c r="R124" s="63">
        <f t="shared" si="98"/>
        <v>-268.52522954734025</v>
      </c>
      <c r="S124" s="63" t="str">
        <f t="shared" si="99"/>
        <v>4.10513904495908E-27+8.96831017167883E-44i</v>
      </c>
      <c r="T124" s="63">
        <f t="shared" si="82"/>
        <v>-263.86672128328757</v>
      </c>
      <c r="U124" s="63" t="str">
        <f t="shared" si="100"/>
        <v>1.96383306098848E-21+1.12103877145985E-44i</v>
      </c>
      <c r="V124" s="63">
        <f t="shared" si="83"/>
        <v>-207.06895432930409</v>
      </c>
      <c r="W124" s="63">
        <f t="shared" si="101"/>
        <v>102.64873945531943</v>
      </c>
      <c r="X124" s="63" t="str">
        <f t="shared" si="102"/>
        <v>1.94617223492241-76.3854570250441i</v>
      </c>
      <c r="Y124" s="90" t="str">
        <f t="shared" si="103"/>
        <v>1.01895953369958E-10-7.44144131046956E-11i</v>
      </c>
      <c r="Z124" s="90" t="str">
        <f t="shared" si="104"/>
        <v>1.94617223492241E-13-7.63854570250441E-12i</v>
      </c>
      <c r="AA124" s="90" t="str">
        <f t="shared" si="105"/>
        <v>5.0947976684979E-11-3.72072065523478E-11i</v>
      </c>
      <c r="AB124" s="90" t="str">
        <f t="shared" si="106"/>
        <v>1.21324497517336E-21-5.60519385729927E-45i</v>
      </c>
      <c r="AC124" s="90">
        <f t="shared" si="84"/>
        <v>-209.16051498701324</v>
      </c>
      <c r="AD124" s="90" t="str">
        <f t="shared" si="107"/>
        <v>3.6307792154975E-19</v>
      </c>
      <c r="AE124" s="63">
        <f t="shared" si="85"/>
        <v>-184.40000159351061</v>
      </c>
      <c r="AF124" s="63" t="str">
        <f t="shared" si="86"/>
        <v>1.04344767674736E-20</v>
      </c>
      <c r="AG124" s="63">
        <f t="shared" si="87"/>
        <v>-199.81529323569896</v>
      </c>
      <c r="AH124" s="116">
        <v>-175</v>
      </c>
      <c r="AI124" s="63" t="str">
        <f t="shared" si="108"/>
        <v>6.9459729214517E-28</v>
      </c>
      <c r="AJ124" s="134">
        <f t="shared" si="88"/>
        <v>-271.58266914098539</v>
      </c>
      <c r="AK124" s="63">
        <f t="shared" si="109"/>
        <v>-184.24016363322414</v>
      </c>
      <c r="AL124" s="49">
        <f t="shared" si="110"/>
        <v>2.9000745080676641E-12</v>
      </c>
    </row>
    <row r="125" spans="5:38" x14ac:dyDescent="0.25">
      <c r="E125" s="68">
        <v>70794.578438414101</v>
      </c>
      <c r="F125" s="61" t="str">
        <f t="shared" si="78"/>
        <v>444815455.072216i</v>
      </c>
      <c r="G125" s="83" t="str">
        <f t="shared" si="90"/>
        <v>-0.00938998725869002+0.0751287764105665i</v>
      </c>
      <c r="H125" s="62" t="str">
        <f t="shared" si="91"/>
        <v>1.1611789382156E-07+1.45130214490891E-08i</v>
      </c>
      <c r="I125" s="62" t="str">
        <f t="shared" si="92"/>
        <v>9.28943044390597E-06+1.16104144629174E-06i</v>
      </c>
      <c r="J125" s="89" t="str">
        <f t="shared" si="93"/>
        <v>0.0233468851508866+0.00291801542254671i</v>
      </c>
      <c r="K125" s="89" t="str">
        <f t="shared" si="94"/>
        <v>-4.51004024281302E-09-0.310758223732416i</v>
      </c>
      <c r="L125" s="89" t="str">
        <f t="shared" si="95"/>
        <v>0.999999883882123-1.45130180786468E-08i</v>
      </c>
      <c r="M125" s="63">
        <f t="shared" si="79"/>
        <v>-187.52059991327965</v>
      </c>
      <c r="N125" s="63">
        <f t="shared" si="80"/>
        <v>-152.51029995663981</v>
      </c>
      <c r="O125" s="63" t="str">
        <f t="shared" si="96"/>
        <v>4.9183221299555E-26-7.17464813734306E-43i</v>
      </c>
      <c r="P125" s="63">
        <f t="shared" si="81"/>
        <v>-253.08183030155942</v>
      </c>
      <c r="Q125" s="63" t="str">
        <f t="shared" si="97"/>
        <v>5.60342980501921E-28</v>
      </c>
      <c r="R125" s="63">
        <f t="shared" si="98"/>
        <v>-272.51546064166536</v>
      </c>
      <c r="S125" s="63" t="str">
        <f t="shared" si="99"/>
        <v>1.637965545782E-27</v>
      </c>
      <c r="T125" s="63">
        <f t="shared" si="82"/>
        <v>-267.85695237761269</v>
      </c>
      <c r="U125" s="63" t="str">
        <f t="shared" si="100"/>
        <v>1.23927684765272E-21</v>
      </c>
      <c r="V125" s="63">
        <f t="shared" si="83"/>
        <v>-209.06831663779576</v>
      </c>
      <c r="W125" s="63">
        <f t="shared" si="101"/>
        <v>102.64873945531943</v>
      </c>
      <c r="X125" s="63" t="str">
        <f t="shared" si="102"/>
        <v>1.54612635471798-68.0881354608304i</v>
      </c>
      <c r="Y125" s="90" t="str">
        <f t="shared" si="103"/>
        <v>1.01506230240062E-10-6.63311949295467E-11i</v>
      </c>
      <c r="Z125" s="90" t="str">
        <f t="shared" si="104"/>
        <v>1.54612635471798E-13-6.80881354608304E-12i</v>
      </c>
      <c r="AA125" s="90" t="str">
        <f t="shared" si="105"/>
        <v>5.0753115120031E-11-3.31655974647734E-11i</v>
      </c>
      <c r="AB125" s="90" t="str">
        <f t="shared" si="106"/>
        <v>8.89684447497786E-22+2.80259692864963E-45i</v>
      </c>
      <c r="AC125" s="90">
        <f t="shared" si="84"/>
        <v>-210.50764001232261</v>
      </c>
      <c r="AD125" s="90" t="str">
        <f t="shared" si="107"/>
        <v>2.88403083335139E-19</v>
      </c>
      <c r="AE125" s="63">
        <f t="shared" si="85"/>
        <v>-185.40000100858717</v>
      </c>
      <c r="AF125" s="63" t="str">
        <f t="shared" si="86"/>
        <v>1.25168373653732E-20</v>
      </c>
      <c r="AG125" s="63">
        <f t="shared" si="87"/>
        <v>-199.02505390636401</v>
      </c>
      <c r="AH125" s="116">
        <v>-175</v>
      </c>
      <c r="AI125" s="63" t="str">
        <f t="shared" si="108"/>
        <v>2.77146868904318E-28+5.60519385729927E-45i</v>
      </c>
      <c r="AJ125" s="134">
        <f t="shared" si="88"/>
        <v>-275.5729002353105</v>
      </c>
      <c r="AK125" s="63">
        <f t="shared" si="109"/>
        <v>-185.18487239813851</v>
      </c>
      <c r="AL125" s="49">
        <f t="shared" si="110"/>
        <v>2.6178109462029327E-12</v>
      </c>
    </row>
    <row r="126" spans="5:38" x14ac:dyDescent="0.25">
      <c r="E126" s="68">
        <v>79432.823472428499</v>
      </c>
      <c r="F126" s="61" t="str">
        <f t="shared" si="78"/>
        <v>499091149.349753i</v>
      </c>
      <c r="G126" s="83" t="str">
        <f t="shared" si="90"/>
        <v>-0.0059355210676144+0.0533195500653749i</v>
      </c>
      <c r="H126" s="62" t="str">
        <f t="shared" si="91"/>
        <v>7.34478876608101E-08+8.17620336345666E-09i</v>
      </c>
      <c r="I126" s="62" t="str">
        <f t="shared" si="92"/>
        <v>5.87583058664548E-06+6.54096172992563E-07i</v>
      </c>
      <c r="J126" s="89" t="str">
        <f t="shared" si="93"/>
        <v>0.0147675729637949+0.00164392298545171i</v>
      </c>
      <c r="K126" s="89" t="str">
        <f t="shared" si="94"/>
        <v>-2.26451030832852E-09-0.276963570252325i</v>
      </c>
      <c r="L126" s="89" t="str">
        <f t="shared" si="95"/>
        <v>0.999999926552115-8.17620216240702E-09i</v>
      </c>
      <c r="M126" s="63">
        <f t="shared" si="79"/>
        <v>-188.02059991327965</v>
      </c>
      <c r="N126" s="63">
        <f t="shared" si="80"/>
        <v>-152.51029995663981</v>
      </c>
      <c r="O126" s="63" t="str">
        <f t="shared" si="96"/>
        <v>1.96145963008225E-26+3.58732406867153E-43i</v>
      </c>
      <c r="P126" s="63">
        <f t="shared" si="81"/>
        <v>-257.07420625904535</v>
      </c>
      <c r="Q126" s="63" t="str">
        <f t="shared" si="97"/>
        <v>2.23476178096555E-28</v>
      </c>
      <c r="R126" s="63">
        <f t="shared" si="98"/>
        <v>-276.50768764579504</v>
      </c>
      <c r="S126" s="63" t="str">
        <f t="shared" si="99"/>
        <v>6.5325397615817E-28</v>
      </c>
      <c r="T126" s="63">
        <f t="shared" si="82"/>
        <v>-271.84917938174232</v>
      </c>
      <c r="U126" s="63" t="str">
        <f t="shared" si="100"/>
        <v>7.82022029221496E-22</v>
      </c>
      <c r="V126" s="63">
        <f t="shared" si="83"/>
        <v>-211.06781012880583</v>
      </c>
      <c r="W126" s="63">
        <f t="shared" si="101"/>
        <v>102.64873945531943</v>
      </c>
      <c r="X126" s="63" t="str">
        <f t="shared" si="102"/>
        <v>1.22827495609955-60.6903597252508i</v>
      </c>
      <c r="Y126" s="90" t="str">
        <f t="shared" si="103"/>
        <v>1.01196580652249E-10-5.91243107779885E-11i</v>
      </c>
      <c r="Z126" s="90" t="str">
        <f t="shared" si="104"/>
        <v>1.22827495609955E-13-6.06903597252508E-12i</v>
      </c>
      <c r="AA126" s="90" t="str">
        <f t="shared" si="105"/>
        <v>5.05982903261245E-11-2.95621553889942E-11i</v>
      </c>
      <c r="AB126" s="90" t="str">
        <f t="shared" si="106"/>
        <v>6.59979221712366E-22</v>
      </c>
      <c r="AC126" s="90">
        <f t="shared" si="84"/>
        <v>-211.80469737242544</v>
      </c>
      <c r="AD126" s="90" t="str">
        <f t="shared" si="107"/>
        <v>2.29086731624899E-19</v>
      </c>
      <c r="AE126" s="63">
        <f t="shared" si="85"/>
        <v>-186.40000063796032</v>
      </c>
      <c r="AF126" s="63" t="str">
        <f t="shared" si="86"/>
        <v>4.91321234854406E-21+9.4039548065783E-38i</v>
      </c>
      <c r="AG126" s="63">
        <f t="shared" si="87"/>
        <v>-203.08634465295671</v>
      </c>
      <c r="AH126" s="116">
        <v>-175</v>
      </c>
      <c r="AI126" s="63" t="str">
        <f t="shared" si="108"/>
        <v>1.10531808533919E-28</v>
      </c>
      <c r="AJ126" s="134">
        <f t="shared" si="88"/>
        <v>-279.56512723944013</v>
      </c>
      <c r="AK126" s="63">
        <f t="shared" si="109"/>
        <v>-186.28116124744997</v>
      </c>
      <c r="AL126" s="49">
        <f t="shared" si="110"/>
        <v>2.281967182391733E-12</v>
      </c>
    </row>
    <row r="127" spans="5:38" x14ac:dyDescent="0.25">
      <c r="E127" s="68">
        <v>89125.0938133749</v>
      </c>
      <c r="F127" s="61" t="str">
        <f t="shared" si="78"/>
        <v>559989479.949199i</v>
      </c>
      <c r="G127" s="83" t="str">
        <f t="shared" si="90"/>
        <v>-0.00375050952434393+0.0378220594750515i</v>
      </c>
      <c r="H127" s="62" t="str">
        <f t="shared" si="91"/>
        <v>4.64342042487241E-08+4.60450667434031E-09i</v>
      </c>
      <c r="I127" s="62" t="str">
        <f t="shared" si="92"/>
        <v>3.71473616910325E-06+3.68360499738172E-07i</v>
      </c>
      <c r="J127" s="89" t="str">
        <f t="shared" si="93"/>
        <v>0.00933615028710323+0.000925790911880087i</v>
      </c>
      <c r="K127" s="89" t="str">
        <f t="shared" si="94"/>
        <v>-1.13659501599084E-09-0.246844048484425i</v>
      </c>
      <c r="L127" s="89" t="str">
        <f t="shared" si="95"/>
        <v>0.999999953565802-4.60450624672717E-09i</v>
      </c>
      <c r="M127" s="63">
        <f t="shared" si="79"/>
        <v>-188.52059991327963</v>
      </c>
      <c r="N127" s="63">
        <f t="shared" si="80"/>
        <v>-152.51029995663981</v>
      </c>
      <c r="O127" s="63" t="str">
        <f t="shared" si="96"/>
        <v>7.81959697208681E-27</v>
      </c>
      <c r="P127" s="63">
        <f t="shared" si="81"/>
        <v>-261.06815630227788</v>
      </c>
      <c r="Q127" s="63" t="str">
        <f t="shared" si="97"/>
        <v>8.90942152763353E-29-1.40129846432482E-45i</v>
      </c>
      <c r="R127" s="63">
        <f t="shared" si="98"/>
        <v>-280.50150492990332</v>
      </c>
      <c r="S127" s="63" t="str">
        <f t="shared" si="99"/>
        <v>2.60435590395732E-28</v>
      </c>
      <c r="T127" s="63">
        <f t="shared" si="82"/>
        <v>-275.84299666585059</v>
      </c>
      <c r="U127" s="63" t="str">
        <f t="shared" si="100"/>
        <v>4.93468254103509E-22</v>
      </c>
      <c r="V127" s="63">
        <f t="shared" si="83"/>
        <v>-213.06740781213463</v>
      </c>
      <c r="W127" s="63">
        <f t="shared" si="101"/>
        <v>102.64873945531943</v>
      </c>
      <c r="X127" s="63" t="str">
        <f t="shared" si="102"/>
        <v>0.975743810556309-54.0951162187951i</v>
      </c>
      <c r="Y127" s="90" t="str">
        <f t="shared" si="103"/>
        <v>1.00950565799185E-10-5.26992503812883E-11i</v>
      </c>
      <c r="Z127" s="90" t="str">
        <f t="shared" si="104"/>
        <v>9.75743810556309E-14-5.40951162187951E-12i</v>
      </c>
      <c r="AA127" s="90" t="str">
        <f t="shared" si="105"/>
        <v>5.04752828995925E-11-2.63496251906441E-11i</v>
      </c>
      <c r="AB127" s="90" t="str">
        <f t="shared" si="106"/>
        <v>4.94754215677481E-22</v>
      </c>
      <c r="AC127" s="90">
        <f t="shared" si="84"/>
        <v>-213.05610496590657</v>
      </c>
      <c r="AD127" s="90" t="str">
        <f t="shared" si="107"/>
        <v>1.81970068961728E-19</v>
      </c>
      <c r="AE127" s="63">
        <f t="shared" si="85"/>
        <v>-187.40000040332234</v>
      </c>
      <c r="AF127" s="63" t="str">
        <f t="shared" si="86"/>
        <v>3.6419157694119E-22</v>
      </c>
      <c r="AG127" s="63">
        <f t="shared" si="87"/>
        <v>-214.38670102830679</v>
      </c>
      <c r="AH127" s="116">
        <v>-175</v>
      </c>
      <c r="AI127" s="63" t="str">
        <f t="shared" si="108"/>
        <v>4.40661945639183E-29-7.00649232162409E-46i</v>
      </c>
      <c r="AJ127" s="134">
        <f t="shared" si="88"/>
        <v>-283.5589445235484</v>
      </c>
      <c r="AK127" s="63">
        <f t="shared" si="109"/>
        <v>-187.36784249635514</v>
      </c>
      <c r="AL127" s="49">
        <f t="shared" si="110"/>
        <v>1.9936148939337587E-12</v>
      </c>
    </row>
    <row r="128" spans="5:38" x14ac:dyDescent="0.25">
      <c r="E128" s="68">
        <v>100000</v>
      </c>
      <c r="F128" s="61" t="str">
        <f t="shared" si="78"/>
        <v>628318530.717959i</v>
      </c>
      <c r="G128" s="83" t="str">
        <f t="shared" si="90"/>
        <v>-0.00236914894024171+0.0268180811760034i</v>
      </c>
      <c r="H128" s="62" t="str">
        <f t="shared" si="91"/>
        <v>2.93440825108795E-08+2.5922996327277E-09i</v>
      </c>
      <c r="I128" s="62" t="str">
        <f t="shared" si="92"/>
        <v>2.34752653252195E-06+2.07383958447232E-07i</v>
      </c>
      <c r="J128" s="89" t="str">
        <f t="shared" si="93"/>
        <v>0.00589997768694247+0.000521212736264158i</v>
      </c>
      <c r="K128" s="89" t="str">
        <f t="shared" si="94"/>
        <v>-5.7030588572989E-10-0.219999993544303i</v>
      </c>
      <c r="L128" s="89" t="str">
        <f t="shared" si="95"/>
        <v>0.999999970655921-2.59229948059041E-09i</v>
      </c>
      <c r="M128" s="63">
        <f t="shared" si="79"/>
        <v>-189.02059991327963</v>
      </c>
      <c r="N128" s="63">
        <f t="shared" si="80"/>
        <v>-152.51029995663981</v>
      </c>
      <c r="O128" s="63" t="str">
        <f t="shared" si="96"/>
        <v>3.11647881924042E-27</v>
      </c>
      <c r="P128" s="63">
        <f t="shared" si="81"/>
        <v>-265.06335820390228</v>
      </c>
      <c r="Q128" s="63" t="str">
        <f t="shared" si="97"/>
        <v>3.55092213670442E-29-3.50324616081204E-46i</v>
      </c>
      <c r="R128" s="63">
        <f t="shared" si="98"/>
        <v>-284.49658850641316</v>
      </c>
      <c r="S128" s="63" t="str">
        <f t="shared" si="99"/>
        <v>1.03798714681258E-28</v>
      </c>
      <c r="T128" s="63">
        <f t="shared" si="82"/>
        <v>-279.83808024236049</v>
      </c>
      <c r="U128" s="63" t="str">
        <f t="shared" si="100"/>
        <v>3.11380330161132E-22-1.75162308040602E-46i</v>
      </c>
      <c r="V128" s="63">
        <f t="shared" si="83"/>
        <v>-215.06708825204922</v>
      </c>
      <c r="W128" s="63">
        <f t="shared" si="101"/>
        <v>102.64873945531943</v>
      </c>
      <c r="X128" s="63" t="str">
        <f t="shared" si="102"/>
        <v>0.775117864272309-48.2157049153071i</v>
      </c>
      <c r="Y128" s="90" t="str">
        <f t="shared" si="103"/>
        <v>1.00755116787975E-10-4.69715509134861E-11i</v>
      </c>
      <c r="Z128" s="90" t="str">
        <f t="shared" si="104"/>
        <v>7.75117864272309E-14-4.82157049153071E-12i</v>
      </c>
      <c r="AA128" s="90" t="str">
        <f t="shared" si="105"/>
        <v>5.03775583939875E-11-2.34857754567431E-11i</v>
      </c>
      <c r="AB128" s="90" t="str">
        <f t="shared" si="106"/>
        <v>3.74389798603578E-22</v>
      </c>
      <c r="AC128" s="90">
        <f t="shared" si="84"/>
        <v>-214.26675993455657</v>
      </c>
      <c r="AD128" s="90" t="str">
        <f t="shared" si="107"/>
        <v>1.44543968591572E-19</v>
      </c>
      <c r="AE128" s="63">
        <f t="shared" si="85"/>
        <v>-188.40000025487944</v>
      </c>
      <c r="AF128" s="63" t="str">
        <f t="shared" si="86"/>
        <v>1E-30</v>
      </c>
      <c r="AG128" s="63">
        <f t="shared" si="87"/>
        <v>-300</v>
      </c>
      <c r="AH128" s="116">
        <v>-175</v>
      </c>
      <c r="AI128" s="63" t="str">
        <f t="shared" si="108"/>
        <v>1.75629388812747E-29-1.75162308040602E-46i</v>
      </c>
      <c r="AJ128" s="134">
        <f t="shared" si="88"/>
        <v>-287.5540281000583</v>
      </c>
      <c r="AK128" s="63">
        <f t="shared" si="109"/>
        <v>-188.37944434176899</v>
      </c>
      <c r="AL128" s="49"/>
    </row>
  </sheetData>
  <sheetProtection password="E0F9" sheet="1" objects="1" scenarios="1" selectLockedCells="1"/>
  <mergeCells count="5">
    <mergeCell ref="AL6:AL7"/>
    <mergeCell ref="A37:C37"/>
    <mergeCell ref="A1:I1"/>
    <mergeCell ref="AH6:AH7"/>
    <mergeCell ref="H6:L6"/>
  </mergeCells>
  <pageMargins left="0.7" right="0.7" top="0.75" bottom="0.75" header="0.3" footer="0.3"/>
  <pageSetup orientation="portrait" r:id="rId1"/>
  <ignoredErrors>
    <ignoredError sqref="Q9:Q128 S8:S128 U9:U128 AD8:AD128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37"/>
  <sheetViews>
    <sheetView workbookViewId="0">
      <selection activeCell="A3" sqref="A3"/>
    </sheetView>
  </sheetViews>
  <sheetFormatPr defaultRowHeight="15" x14ac:dyDescent="0.25"/>
  <sheetData>
    <row r="1" spans="1:1" x14ac:dyDescent="0.25">
      <c r="A1" s="20" t="s">
        <v>84</v>
      </c>
    </row>
    <row r="2" spans="1:1" x14ac:dyDescent="0.25">
      <c r="A2" s="20" t="s">
        <v>0</v>
      </c>
    </row>
    <row r="5" spans="1:1" x14ac:dyDescent="0.25">
      <c r="A5" t="s">
        <v>48</v>
      </c>
    </row>
    <row r="21" spans="1:1" x14ac:dyDescent="0.25">
      <c r="A21" t="s">
        <v>49</v>
      </c>
    </row>
    <row r="37" spans="1:1" x14ac:dyDescent="0.25">
      <c r="A37" t="s">
        <v>181</v>
      </c>
    </row>
  </sheetData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Visio.Drawing.11" shapeId="11267" r:id="rId4">
          <objectPr defaultSize="0" r:id="rId5">
            <anchor moveWithCells="1">
              <from>
                <xdr:col>0</xdr:col>
                <xdr:colOff>0</xdr:colOff>
                <xdr:row>5</xdr:row>
                <xdr:rowOff>0</xdr:rowOff>
              </from>
              <to>
                <xdr:col>9</xdr:col>
                <xdr:colOff>581025</xdr:colOff>
                <xdr:row>19</xdr:row>
                <xdr:rowOff>9525</xdr:rowOff>
              </to>
            </anchor>
          </objectPr>
        </oleObject>
      </mc:Choice>
      <mc:Fallback>
        <oleObject progId="Visio.Drawing.11" shapeId="11267" r:id="rId4"/>
      </mc:Fallback>
    </mc:AlternateContent>
    <mc:AlternateContent xmlns:mc="http://schemas.openxmlformats.org/markup-compatibility/2006">
      <mc:Choice Requires="x14">
        <oleObject progId="Visio.Drawing.11" shapeId="11268" r:id="rId6">
          <objectPr defaultSize="0" r:id="rId7">
            <anchor moveWithCells="1">
              <from>
                <xdr:col>0</xdr:col>
                <xdr:colOff>0</xdr:colOff>
                <xdr:row>21</xdr:row>
                <xdr:rowOff>0</xdr:rowOff>
              </from>
              <to>
                <xdr:col>9</xdr:col>
                <xdr:colOff>600075</xdr:colOff>
                <xdr:row>35</xdr:row>
                <xdr:rowOff>9525</xdr:rowOff>
              </to>
            </anchor>
          </objectPr>
        </oleObject>
      </mc:Choice>
      <mc:Fallback>
        <oleObject progId="Visio.Drawing.11" shapeId="11268" r:id="rId6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8"/>
  <sheetViews>
    <sheetView workbookViewId="0">
      <selection activeCell="A15" sqref="A15"/>
    </sheetView>
  </sheetViews>
  <sheetFormatPr defaultRowHeight="15" x14ac:dyDescent="0.25"/>
  <cols>
    <col min="1" max="1" width="10.85546875" customWidth="1"/>
    <col min="9" max="9" width="9.28515625" bestFit="1" customWidth="1"/>
    <col min="10" max="10" width="10" bestFit="1" customWidth="1"/>
  </cols>
  <sheetData>
    <row r="1" spans="1:9" ht="60" x14ac:dyDescent="0.25">
      <c r="A1" s="17" t="s">
        <v>54</v>
      </c>
      <c r="B1" s="17" t="s">
        <v>55</v>
      </c>
    </row>
    <row r="2" spans="1:9" x14ac:dyDescent="0.25">
      <c r="A2" s="5">
        <v>9.9999999999999998E-13</v>
      </c>
      <c r="B2">
        <v>1</v>
      </c>
      <c r="H2" s="5"/>
      <c r="I2" s="18"/>
    </row>
    <row r="3" spans="1:9" x14ac:dyDescent="0.25">
      <c r="A3" s="5">
        <v>1.1999999999999999E-12</v>
      </c>
      <c r="B3">
        <v>1.1000000000000001</v>
      </c>
      <c r="H3" s="5"/>
      <c r="I3" s="18"/>
    </row>
    <row r="4" spans="1:9" x14ac:dyDescent="0.25">
      <c r="A4" s="5">
        <v>1.5000000000000001E-12</v>
      </c>
      <c r="B4">
        <v>1.2</v>
      </c>
      <c r="H4" s="5"/>
      <c r="I4" s="18"/>
    </row>
    <row r="5" spans="1:9" x14ac:dyDescent="0.25">
      <c r="A5" s="5">
        <v>1.8E-12</v>
      </c>
      <c r="B5">
        <v>1.3</v>
      </c>
      <c r="H5" s="5"/>
      <c r="I5" s="18"/>
    </row>
    <row r="6" spans="1:9" x14ac:dyDescent="0.25">
      <c r="A6" s="5">
        <v>2.1999999999999999E-12</v>
      </c>
      <c r="B6">
        <v>1.5</v>
      </c>
      <c r="H6" s="5"/>
      <c r="I6" s="18"/>
    </row>
    <row r="7" spans="1:9" x14ac:dyDescent="0.25">
      <c r="A7" s="5">
        <v>2.6999999999999998E-12</v>
      </c>
      <c r="B7">
        <v>1.6</v>
      </c>
      <c r="H7" s="5"/>
      <c r="I7" s="18"/>
    </row>
    <row r="8" spans="1:9" x14ac:dyDescent="0.25">
      <c r="A8" s="5">
        <v>3.3000000000000001E-12</v>
      </c>
      <c r="B8">
        <v>1.8</v>
      </c>
      <c r="H8" s="5"/>
      <c r="I8" s="18"/>
    </row>
    <row r="9" spans="1:9" x14ac:dyDescent="0.25">
      <c r="A9" s="5">
        <v>3.8999999999999999E-12</v>
      </c>
      <c r="B9">
        <v>2</v>
      </c>
      <c r="H9" s="5"/>
      <c r="I9" s="18"/>
    </row>
    <row r="10" spans="1:9" x14ac:dyDescent="0.25">
      <c r="A10" s="5">
        <v>4.6999999999999998E-12</v>
      </c>
      <c r="B10">
        <v>2.2000000000000002</v>
      </c>
      <c r="H10" s="5"/>
      <c r="I10" s="18"/>
    </row>
    <row r="11" spans="1:9" x14ac:dyDescent="0.25">
      <c r="A11" s="5">
        <v>5.6000000000000004E-12</v>
      </c>
      <c r="B11">
        <v>2.4</v>
      </c>
      <c r="H11" s="5"/>
      <c r="I11" s="18"/>
    </row>
    <row r="12" spans="1:9" x14ac:dyDescent="0.25">
      <c r="A12" s="5">
        <v>6.8000000000000001E-12</v>
      </c>
      <c r="B12">
        <v>2.7</v>
      </c>
    </row>
    <row r="13" spans="1:9" x14ac:dyDescent="0.25">
      <c r="A13" s="5">
        <v>8.1999999999999998E-12</v>
      </c>
      <c r="B13">
        <v>3</v>
      </c>
    </row>
    <row r="14" spans="1:9" x14ac:dyDescent="0.25">
      <c r="A14" s="5">
        <f>A2*10</f>
        <v>9.9999999999999994E-12</v>
      </c>
      <c r="B14">
        <v>3.3</v>
      </c>
    </row>
    <row r="15" spans="1:9" x14ac:dyDescent="0.25">
      <c r="A15" s="5">
        <f t="shared" ref="A15:A78" si="0">A3*10</f>
        <v>1.1999999999999999E-11</v>
      </c>
      <c r="B15">
        <v>3.6</v>
      </c>
    </row>
    <row r="16" spans="1:9" x14ac:dyDescent="0.25">
      <c r="A16" s="5">
        <f t="shared" si="0"/>
        <v>1.5E-11</v>
      </c>
      <c r="B16">
        <v>3.9</v>
      </c>
    </row>
    <row r="17" spans="1:2" x14ac:dyDescent="0.25">
      <c r="A17" s="5">
        <f t="shared" si="0"/>
        <v>1.7999999999999999E-11</v>
      </c>
      <c r="B17">
        <v>4.3</v>
      </c>
    </row>
    <row r="18" spans="1:2" x14ac:dyDescent="0.25">
      <c r="A18" s="5">
        <f t="shared" si="0"/>
        <v>2.1999999999999998E-11</v>
      </c>
      <c r="B18">
        <v>4.7</v>
      </c>
    </row>
    <row r="19" spans="1:2" x14ac:dyDescent="0.25">
      <c r="A19" s="5">
        <f t="shared" si="0"/>
        <v>2.6999999999999997E-11</v>
      </c>
      <c r="B19">
        <v>5.0999999999999996</v>
      </c>
    </row>
    <row r="20" spans="1:2" x14ac:dyDescent="0.25">
      <c r="A20" s="5">
        <f t="shared" si="0"/>
        <v>3.3000000000000002E-11</v>
      </c>
      <c r="B20">
        <v>5.6</v>
      </c>
    </row>
    <row r="21" spans="1:2" x14ac:dyDescent="0.25">
      <c r="A21" s="5">
        <f t="shared" si="0"/>
        <v>3.9000000000000001E-11</v>
      </c>
      <c r="B21">
        <v>6.2</v>
      </c>
    </row>
    <row r="22" spans="1:2" x14ac:dyDescent="0.25">
      <c r="A22" s="5">
        <f t="shared" si="0"/>
        <v>4.6999999999999999E-11</v>
      </c>
      <c r="B22">
        <v>6.8</v>
      </c>
    </row>
    <row r="23" spans="1:2" x14ac:dyDescent="0.25">
      <c r="A23" s="5">
        <f t="shared" si="0"/>
        <v>5.6E-11</v>
      </c>
      <c r="B23">
        <v>7.5</v>
      </c>
    </row>
    <row r="24" spans="1:2" x14ac:dyDescent="0.25">
      <c r="A24" s="5">
        <f t="shared" si="0"/>
        <v>6.7999999999999998E-11</v>
      </c>
      <c r="B24">
        <v>8.1999999999999993</v>
      </c>
    </row>
    <row r="25" spans="1:2" x14ac:dyDescent="0.25">
      <c r="A25" s="5">
        <f t="shared" si="0"/>
        <v>8.2000000000000001E-11</v>
      </c>
      <c r="B25">
        <v>9.1</v>
      </c>
    </row>
    <row r="26" spans="1:2" x14ac:dyDescent="0.25">
      <c r="A26" s="5">
        <f t="shared" si="0"/>
        <v>9.9999999999999991E-11</v>
      </c>
      <c r="B26">
        <f>B2*10</f>
        <v>10</v>
      </c>
    </row>
    <row r="27" spans="1:2" x14ac:dyDescent="0.25">
      <c r="A27" s="5">
        <f t="shared" si="0"/>
        <v>1.2E-10</v>
      </c>
      <c r="B27">
        <f t="shared" ref="B27:B90" si="1">B3*10</f>
        <v>11</v>
      </c>
    </row>
    <row r="28" spans="1:2" x14ac:dyDescent="0.25">
      <c r="A28" s="5">
        <f t="shared" si="0"/>
        <v>1.5E-10</v>
      </c>
      <c r="B28">
        <f t="shared" si="1"/>
        <v>12</v>
      </c>
    </row>
    <row r="29" spans="1:2" x14ac:dyDescent="0.25">
      <c r="A29" s="5">
        <f t="shared" si="0"/>
        <v>1.8E-10</v>
      </c>
      <c r="B29">
        <f t="shared" si="1"/>
        <v>13</v>
      </c>
    </row>
    <row r="30" spans="1:2" x14ac:dyDescent="0.25">
      <c r="A30" s="5">
        <f t="shared" si="0"/>
        <v>2.1999999999999999E-10</v>
      </c>
      <c r="B30">
        <f t="shared" si="1"/>
        <v>15</v>
      </c>
    </row>
    <row r="31" spans="1:2" x14ac:dyDescent="0.25">
      <c r="A31" s="5">
        <f t="shared" si="0"/>
        <v>2.7E-10</v>
      </c>
      <c r="B31">
        <f t="shared" si="1"/>
        <v>16</v>
      </c>
    </row>
    <row r="32" spans="1:2" x14ac:dyDescent="0.25">
      <c r="A32" s="5">
        <f t="shared" si="0"/>
        <v>3.3E-10</v>
      </c>
      <c r="B32">
        <f t="shared" si="1"/>
        <v>18</v>
      </c>
    </row>
    <row r="33" spans="1:2" x14ac:dyDescent="0.25">
      <c r="A33" s="5">
        <f t="shared" si="0"/>
        <v>3.9E-10</v>
      </c>
      <c r="B33">
        <f t="shared" si="1"/>
        <v>20</v>
      </c>
    </row>
    <row r="34" spans="1:2" x14ac:dyDescent="0.25">
      <c r="A34" s="5">
        <f t="shared" si="0"/>
        <v>4.7000000000000003E-10</v>
      </c>
      <c r="B34">
        <f t="shared" si="1"/>
        <v>22</v>
      </c>
    </row>
    <row r="35" spans="1:2" x14ac:dyDescent="0.25">
      <c r="A35" s="5">
        <f t="shared" si="0"/>
        <v>5.6000000000000003E-10</v>
      </c>
      <c r="B35">
        <f t="shared" si="1"/>
        <v>24</v>
      </c>
    </row>
    <row r="36" spans="1:2" x14ac:dyDescent="0.25">
      <c r="A36" s="5">
        <f t="shared" si="0"/>
        <v>6.7999999999999993E-10</v>
      </c>
      <c r="B36">
        <f t="shared" si="1"/>
        <v>27</v>
      </c>
    </row>
    <row r="37" spans="1:2" x14ac:dyDescent="0.25">
      <c r="A37" s="5">
        <f t="shared" si="0"/>
        <v>8.2000000000000006E-10</v>
      </c>
      <c r="B37">
        <f t="shared" si="1"/>
        <v>30</v>
      </c>
    </row>
    <row r="38" spans="1:2" x14ac:dyDescent="0.25">
      <c r="A38" s="5">
        <f t="shared" si="0"/>
        <v>9.9999999999999986E-10</v>
      </c>
      <c r="B38">
        <f t="shared" si="1"/>
        <v>33</v>
      </c>
    </row>
    <row r="39" spans="1:2" x14ac:dyDescent="0.25">
      <c r="A39" s="5">
        <f t="shared" si="0"/>
        <v>1.2E-9</v>
      </c>
      <c r="B39">
        <f t="shared" si="1"/>
        <v>36</v>
      </c>
    </row>
    <row r="40" spans="1:2" x14ac:dyDescent="0.25">
      <c r="A40" s="5">
        <f t="shared" si="0"/>
        <v>1.5E-9</v>
      </c>
      <c r="B40">
        <f t="shared" si="1"/>
        <v>39</v>
      </c>
    </row>
    <row r="41" spans="1:2" x14ac:dyDescent="0.25">
      <c r="A41" s="5">
        <f t="shared" si="0"/>
        <v>1.8E-9</v>
      </c>
      <c r="B41">
        <f t="shared" si="1"/>
        <v>43</v>
      </c>
    </row>
    <row r="42" spans="1:2" x14ac:dyDescent="0.25">
      <c r="A42" s="5">
        <f t="shared" si="0"/>
        <v>2.1999999999999998E-9</v>
      </c>
      <c r="B42">
        <f t="shared" si="1"/>
        <v>47</v>
      </c>
    </row>
    <row r="43" spans="1:2" x14ac:dyDescent="0.25">
      <c r="A43" s="5">
        <f t="shared" si="0"/>
        <v>2.7000000000000002E-9</v>
      </c>
      <c r="B43">
        <f t="shared" si="1"/>
        <v>51</v>
      </c>
    </row>
    <row r="44" spans="1:2" x14ac:dyDescent="0.25">
      <c r="A44" s="5">
        <f t="shared" si="0"/>
        <v>3.2999999999999998E-9</v>
      </c>
      <c r="B44">
        <f t="shared" si="1"/>
        <v>56</v>
      </c>
    </row>
    <row r="45" spans="1:2" x14ac:dyDescent="0.25">
      <c r="A45" s="5">
        <f t="shared" si="0"/>
        <v>3.9000000000000002E-9</v>
      </c>
      <c r="B45">
        <f t="shared" si="1"/>
        <v>62</v>
      </c>
    </row>
    <row r="46" spans="1:2" x14ac:dyDescent="0.25">
      <c r="A46" s="5">
        <f t="shared" si="0"/>
        <v>4.7000000000000007E-9</v>
      </c>
      <c r="B46">
        <f t="shared" si="1"/>
        <v>68</v>
      </c>
    </row>
    <row r="47" spans="1:2" x14ac:dyDescent="0.25">
      <c r="A47" s="5">
        <f t="shared" si="0"/>
        <v>5.6000000000000005E-9</v>
      </c>
      <c r="B47">
        <f t="shared" si="1"/>
        <v>75</v>
      </c>
    </row>
    <row r="48" spans="1:2" x14ac:dyDescent="0.25">
      <c r="A48" s="5">
        <f t="shared" si="0"/>
        <v>6.7999999999999997E-9</v>
      </c>
      <c r="B48">
        <f t="shared" si="1"/>
        <v>82</v>
      </c>
    </row>
    <row r="49" spans="1:2" x14ac:dyDescent="0.25">
      <c r="A49" s="5">
        <f t="shared" si="0"/>
        <v>8.2000000000000006E-9</v>
      </c>
      <c r="B49">
        <f t="shared" si="1"/>
        <v>91</v>
      </c>
    </row>
    <row r="50" spans="1:2" x14ac:dyDescent="0.25">
      <c r="A50" s="5">
        <f t="shared" si="0"/>
        <v>9.9999999999999986E-9</v>
      </c>
      <c r="B50">
        <f t="shared" si="1"/>
        <v>100</v>
      </c>
    </row>
    <row r="51" spans="1:2" x14ac:dyDescent="0.25">
      <c r="A51" s="5">
        <f t="shared" si="0"/>
        <v>1.2E-8</v>
      </c>
      <c r="B51">
        <f t="shared" si="1"/>
        <v>110</v>
      </c>
    </row>
    <row r="52" spans="1:2" x14ac:dyDescent="0.25">
      <c r="A52" s="5">
        <f t="shared" si="0"/>
        <v>1.4999999999999999E-8</v>
      </c>
      <c r="B52">
        <f t="shared" si="1"/>
        <v>120</v>
      </c>
    </row>
    <row r="53" spans="1:2" x14ac:dyDescent="0.25">
      <c r="A53" s="5">
        <f t="shared" si="0"/>
        <v>1.7999999999999999E-8</v>
      </c>
      <c r="B53">
        <f t="shared" si="1"/>
        <v>130</v>
      </c>
    </row>
    <row r="54" spans="1:2" x14ac:dyDescent="0.25">
      <c r="A54" s="5">
        <f t="shared" si="0"/>
        <v>2.1999999999999998E-8</v>
      </c>
      <c r="B54">
        <f t="shared" si="1"/>
        <v>150</v>
      </c>
    </row>
    <row r="55" spans="1:2" x14ac:dyDescent="0.25">
      <c r="A55" s="5">
        <f t="shared" si="0"/>
        <v>2.7000000000000004E-8</v>
      </c>
      <c r="B55">
        <f t="shared" si="1"/>
        <v>160</v>
      </c>
    </row>
    <row r="56" spans="1:2" x14ac:dyDescent="0.25">
      <c r="A56" s="5">
        <f t="shared" si="0"/>
        <v>3.2999999999999998E-8</v>
      </c>
      <c r="B56">
        <f t="shared" si="1"/>
        <v>180</v>
      </c>
    </row>
    <row r="57" spans="1:2" x14ac:dyDescent="0.25">
      <c r="A57" s="5">
        <f t="shared" si="0"/>
        <v>3.9000000000000005E-8</v>
      </c>
      <c r="B57">
        <f t="shared" si="1"/>
        <v>200</v>
      </c>
    </row>
    <row r="58" spans="1:2" x14ac:dyDescent="0.25">
      <c r="A58" s="5">
        <f t="shared" si="0"/>
        <v>4.7000000000000011E-8</v>
      </c>
      <c r="B58">
        <f t="shared" si="1"/>
        <v>220</v>
      </c>
    </row>
    <row r="59" spans="1:2" x14ac:dyDescent="0.25">
      <c r="A59" s="5">
        <f t="shared" si="0"/>
        <v>5.6000000000000005E-8</v>
      </c>
      <c r="B59">
        <f t="shared" si="1"/>
        <v>240</v>
      </c>
    </row>
    <row r="60" spans="1:2" x14ac:dyDescent="0.25">
      <c r="A60" s="5">
        <f t="shared" si="0"/>
        <v>6.8E-8</v>
      </c>
      <c r="B60">
        <f t="shared" si="1"/>
        <v>270</v>
      </c>
    </row>
    <row r="61" spans="1:2" x14ac:dyDescent="0.25">
      <c r="A61" s="5">
        <f t="shared" si="0"/>
        <v>8.2000000000000006E-8</v>
      </c>
      <c r="B61">
        <f t="shared" si="1"/>
        <v>300</v>
      </c>
    </row>
    <row r="62" spans="1:2" x14ac:dyDescent="0.25">
      <c r="A62" s="5">
        <f t="shared" si="0"/>
        <v>9.9999999999999982E-8</v>
      </c>
      <c r="B62">
        <f t="shared" si="1"/>
        <v>330</v>
      </c>
    </row>
    <row r="63" spans="1:2" x14ac:dyDescent="0.25">
      <c r="A63" s="5">
        <f t="shared" si="0"/>
        <v>1.1999999999999999E-7</v>
      </c>
      <c r="B63">
        <f t="shared" si="1"/>
        <v>360</v>
      </c>
    </row>
    <row r="64" spans="1:2" x14ac:dyDescent="0.25">
      <c r="A64" s="5">
        <f t="shared" si="0"/>
        <v>1.4999999999999999E-7</v>
      </c>
      <c r="B64">
        <f t="shared" si="1"/>
        <v>390</v>
      </c>
    </row>
    <row r="65" spans="1:2" x14ac:dyDescent="0.25">
      <c r="A65" s="5">
        <f t="shared" si="0"/>
        <v>1.8E-7</v>
      </c>
      <c r="B65">
        <f t="shared" si="1"/>
        <v>430</v>
      </c>
    </row>
    <row r="66" spans="1:2" x14ac:dyDescent="0.25">
      <c r="A66" s="5">
        <f t="shared" si="0"/>
        <v>2.1999999999999998E-7</v>
      </c>
      <c r="B66">
        <f t="shared" si="1"/>
        <v>470</v>
      </c>
    </row>
    <row r="67" spans="1:2" x14ac:dyDescent="0.25">
      <c r="A67" s="5">
        <f t="shared" si="0"/>
        <v>2.7000000000000006E-7</v>
      </c>
      <c r="B67">
        <f t="shared" si="1"/>
        <v>510</v>
      </c>
    </row>
    <row r="68" spans="1:2" x14ac:dyDescent="0.25">
      <c r="A68" s="5">
        <f t="shared" si="0"/>
        <v>3.2999999999999996E-7</v>
      </c>
      <c r="B68">
        <f t="shared" si="1"/>
        <v>560</v>
      </c>
    </row>
    <row r="69" spans="1:2" x14ac:dyDescent="0.25">
      <c r="A69" s="5">
        <f t="shared" si="0"/>
        <v>3.9000000000000008E-7</v>
      </c>
      <c r="B69">
        <f t="shared" si="1"/>
        <v>620</v>
      </c>
    </row>
    <row r="70" spans="1:2" x14ac:dyDescent="0.25">
      <c r="A70" s="5">
        <f t="shared" si="0"/>
        <v>4.7000000000000011E-7</v>
      </c>
      <c r="B70">
        <f t="shared" si="1"/>
        <v>680</v>
      </c>
    </row>
    <row r="71" spans="1:2" x14ac:dyDescent="0.25">
      <c r="A71" s="5">
        <f t="shared" si="0"/>
        <v>5.6000000000000004E-7</v>
      </c>
      <c r="B71">
        <f t="shared" si="1"/>
        <v>750</v>
      </c>
    </row>
    <row r="72" spans="1:2" x14ac:dyDescent="0.25">
      <c r="A72" s="5">
        <f t="shared" si="0"/>
        <v>6.8000000000000005E-7</v>
      </c>
      <c r="B72">
        <f t="shared" si="1"/>
        <v>820</v>
      </c>
    </row>
    <row r="73" spans="1:2" x14ac:dyDescent="0.25">
      <c r="A73" s="5">
        <f t="shared" si="0"/>
        <v>8.2000000000000009E-7</v>
      </c>
      <c r="B73">
        <f t="shared" si="1"/>
        <v>910</v>
      </c>
    </row>
    <row r="74" spans="1:2" x14ac:dyDescent="0.25">
      <c r="A74" s="5">
        <f t="shared" si="0"/>
        <v>9.9999999999999974E-7</v>
      </c>
      <c r="B74">
        <f t="shared" si="1"/>
        <v>1000</v>
      </c>
    </row>
    <row r="75" spans="1:2" x14ac:dyDescent="0.25">
      <c r="A75" s="5">
        <f t="shared" si="0"/>
        <v>1.1999999999999999E-6</v>
      </c>
      <c r="B75">
        <f t="shared" si="1"/>
        <v>1100</v>
      </c>
    </row>
    <row r="76" spans="1:2" x14ac:dyDescent="0.25">
      <c r="A76" s="5">
        <f t="shared" si="0"/>
        <v>1.5E-6</v>
      </c>
      <c r="B76">
        <f t="shared" si="1"/>
        <v>1200</v>
      </c>
    </row>
    <row r="77" spans="1:2" x14ac:dyDescent="0.25">
      <c r="A77" s="5">
        <f t="shared" si="0"/>
        <v>1.7999999999999999E-6</v>
      </c>
      <c r="B77">
        <f t="shared" si="1"/>
        <v>1300</v>
      </c>
    </row>
    <row r="78" spans="1:2" x14ac:dyDescent="0.25">
      <c r="A78" s="5">
        <f t="shared" si="0"/>
        <v>2.1999999999999997E-6</v>
      </c>
      <c r="B78">
        <f t="shared" si="1"/>
        <v>1500</v>
      </c>
    </row>
    <row r="79" spans="1:2" x14ac:dyDescent="0.25">
      <c r="A79" s="5">
        <f t="shared" ref="A79:A142" si="2">A67*10</f>
        <v>2.7000000000000004E-6</v>
      </c>
      <c r="B79">
        <f t="shared" si="1"/>
        <v>1600</v>
      </c>
    </row>
    <row r="80" spans="1:2" x14ac:dyDescent="0.25">
      <c r="A80" s="5">
        <f t="shared" si="2"/>
        <v>3.2999999999999997E-6</v>
      </c>
      <c r="B80">
        <f t="shared" si="1"/>
        <v>1800</v>
      </c>
    </row>
    <row r="81" spans="1:2" x14ac:dyDescent="0.25">
      <c r="A81" s="5">
        <f t="shared" si="2"/>
        <v>3.9000000000000008E-6</v>
      </c>
      <c r="B81">
        <f t="shared" si="1"/>
        <v>2000</v>
      </c>
    </row>
    <row r="82" spans="1:2" x14ac:dyDescent="0.25">
      <c r="A82" s="5">
        <f t="shared" si="2"/>
        <v>4.7000000000000007E-6</v>
      </c>
      <c r="B82">
        <f t="shared" si="1"/>
        <v>2200</v>
      </c>
    </row>
    <row r="83" spans="1:2" x14ac:dyDescent="0.25">
      <c r="A83" s="5">
        <f t="shared" si="2"/>
        <v>5.6000000000000006E-6</v>
      </c>
      <c r="B83">
        <f t="shared" si="1"/>
        <v>2400</v>
      </c>
    </row>
    <row r="84" spans="1:2" x14ac:dyDescent="0.25">
      <c r="A84" s="5">
        <f t="shared" si="2"/>
        <v>6.800000000000001E-6</v>
      </c>
      <c r="B84">
        <f t="shared" si="1"/>
        <v>2700</v>
      </c>
    </row>
    <row r="85" spans="1:2" x14ac:dyDescent="0.25">
      <c r="A85" s="5">
        <f t="shared" si="2"/>
        <v>8.2000000000000011E-6</v>
      </c>
      <c r="B85">
        <f t="shared" si="1"/>
        <v>3000</v>
      </c>
    </row>
    <row r="86" spans="1:2" x14ac:dyDescent="0.25">
      <c r="A86" s="5">
        <f t="shared" si="2"/>
        <v>9.9999999999999974E-6</v>
      </c>
      <c r="B86">
        <f t="shared" si="1"/>
        <v>3300</v>
      </c>
    </row>
    <row r="87" spans="1:2" x14ac:dyDescent="0.25">
      <c r="A87" s="5">
        <f t="shared" si="2"/>
        <v>1.2E-5</v>
      </c>
      <c r="B87">
        <f t="shared" si="1"/>
        <v>3600</v>
      </c>
    </row>
    <row r="88" spans="1:2" x14ac:dyDescent="0.25">
      <c r="A88" s="5">
        <f t="shared" si="2"/>
        <v>1.5E-5</v>
      </c>
      <c r="B88">
        <f t="shared" si="1"/>
        <v>3900</v>
      </c>
    </row>
    <row r="89" spans="1:2" x14ac:dyDescent="0.25">
      <c r="A89" s="5">
        <f t="shared" si="2"/>
        <v>1.8E-5</v>
      </c>
      <c r="B89">
        <f t="shared" si="1"/>
        <v>4300</v>
      </c>
    </row>
    <row r="90" spans="1:2" x14ac:dyDescent="0.25">
      <c r="A90" s="5">
        <f t="shared" si="2"/>
        <v>2.1999999999999996E-5</v>
      </c>
      <c r="B90">
        <f t="shared" si="1"/>
        <v>4700</v>
      </c>
    </row>
    <row r="91" spans="1:2" x14ac:dyDescent="0.25">
      <c r="A91" s="5">
        <f t="shared" si="2"/>
        <v>2.7000000000000006E-5</v>
      </c>
      <c r="B91">
        <f t="shared" ref="B91:B108" si="3">B67*10</f>
        <v>5100</v>
      </c>
    </row>
    <row r="92" spans="1:2" x14ac:dyDescent="0.25">
      <c r="A92" s="5">
        <f t="shared" si="2"/>
        <v>3.2999999999999996E-5</v>
      </c>
      <c r="B92">
        <f t="shared" si="3"/>
        <v>5600</v>
      </c>
    </row>
    <row r="93" spans="1:2" x14ac:dyDescent="0.25">
      <c r="A93" s="5">
        <f t="shared" si="2"/>
        <v>3.9000000000000006E-5</v>
      </c>
      <c r="B93">
        <f t="shared" si="3"/>
        <v>6200</v>
      </c>
    </row>
    <row r="94" spans="1:2" x14ac:dyDescent="0.25">
      <c r="A94" s="5">
        <f t="shared" si="2"/>
        <v>4.7000000000000004E-5</v>
      </c>
      <c r="B94">
        <f t="shared" si="3"/>
        <v>6800</v>
      </c>
    </row>
    <row r="95" spans="1:2" x14ac:dyDescent="0.25">
      <c r="A95" s="5">
        <f t="shared" si="2"/>
        <v>5.6000000000000006E-5</v>
      </c>
      <c r="B95">
        <f t="shared" si="3"/>
        <v>7500</v>
      </c>
    </row>
    <row r="96" spans="1:2" x14ac:dyDescent="0.25">
      <c r="A96" s="5">
        <f t="shared" si="2"/>
        <v>6.8000000000000013E-5</v>
      </c>
      <c r="B96">
        <f t="shared" si="3"/>
        <v>8200</v>
      </c>
    </row>
    <row r="97" spans="1:2" x14ac:dyDescent="0.25">
      <c r="A97" s="5">
        <f t="shared" si="2"/>
        <v>8.2000000000000015E-5</v>
      </c>
      <c r="B97">
        <f t="shared" si="3"/>
        <v>9100</v>
      </c>
    </row>
    <row r="98" spans="1:2" x14ac:dyDescent="0.25">
      <c r="A98" s="5">
        <f t="shared" si="2"/>
        <v>9.9999999999999978E-5</v>
      </c>
      <c r="B98">
        <f t="shared" si="3"/>
        <v>10000</v>
      </c>
    </row>
    <row r="99" spans="1:2" x14ac:dyDescent="0.25">
      <c r="A99" s="5">
        <f t="shared" si="2"/>
        <v>1.2E-4</v>
      </c>
      <c r="B99">
        <f t="shared" si="3"/>
        <v>11000</v>
      </c>
    </row>
    <row r="100" spans="1:2" x14ac:dyDescent="0.25">
      <c r="A100" s="5">
        <f t="shared" si="2"/>
        <v>1.5000000000000001E-4</v>
      </c>
      <c r="B100">
        <f t="shared" si="3"/>
        <v>12000</v>
      </c>
    </row>
    <row r="101" spans="1:2" x14ac:dyDescent="0.25">
      <c r="A101" s="5">
        <f t="shared" si="2"/>
        <v>1.8000000000000001E-4</v>
      </c>
      <c r="B101">
        <f t="shared" si="3"/>
        <v>13000</v>
      </c>
    </row>
    <row r="102" spans="1:2" x14ac:dyDescent="0.25">
      <c r="A102" s="5">
        <f t="shared" si="2"/>
        <v>2.1999999999999995E-4</v>
      </c>
      <c r="B102">
        <f t="shared" si="3"/>
        <v>15000</v>
      </c>
    </row>
    <row r="103" spans="1:2" x14ac:dyDescent="0.25">
      <c r="A103" s="5">
        <f t="shared" si="2"/>
        <v>2.7000000000000006E-4</v>
      </c>
      <c r="B103">
        <f t="shared" si="3"/>
        <v>16000</v>
      </c>
    </row>
    <row r="104" spans="1:2" x14ac:dyDescent="0.25">
      <c r="A104" s="5">
        <f t="shared" si="2"/>
        <v>3.2999999999999994E-4</v>
      </c>
      <c r="B104">
        <f t="shared" si="3"/>
        <v>18000</v>
      </c>
    </row>
    <row r="105" spans="1:2" x14ac:dyDescent="0.25">
      <c r="A105" s="5">
        <f t="shared" si="2"/>
        <v>3.9000000000000005E-4</v>
      </c>
      <c r="B105">
        <f t="shared" si="3"/>
        <v>20000</v>
      </c>
    </row>
    <row r="106" spans="1:2" x14ac:dyDescent="0.25">
      <c r="A106" s="5">
        <f t="shared" si="2"/>
        <v>4.7000000000000004E-4</v>
      </c>
      <c r="B106">
        <f t="shared" si="3"/>
        <v>22000</v>
      </c>
    </row>
    <row r="107" spans="1:2" x14ac:dyDescent="0.25">
      <c r="A107" s="5">
        <f t="shared" si="2"/>
        <v>5.6000000000000006E-4</v>
      </c>
      <c r="B107">
        <f t="shared" si="3"/>
        <v>24000</v>
      </c>
    </row>
    <row r="108" spans="1:2" x14ac:dyDescent="0.25">
      <c r="A108" s="5">
        <f t="shared" si="2"/>
        <v>6.8000000000000016E-4</v>
      </c>
      <c r="B108">
        <f t="shared" si="3"/>
        <v>27000</v>
      </c>
    </row>
    <row r="109" spans="1:2" x14ac:dyDescent="0.25">
      <c r="A109" s="5">
        <f t="shared" si="2"/>
        <v>8.200000000000002E-4</v>
      </c>
      <c r="B109">
        <f>B85*10</f>
        <v>30000</v>
      </c>
    </row>
    <row r="110" spans="1:2" x14ac:dyDescent="0.25">
      <c r="A110" s="5">
        <f t="shared" si="2"/>
        <v>9.999999999999998E-4</v>
      </c>
      <c r="B110">
        <f t="shared" ref="B110:B158" si="4">B86*10</f>
        <v>33000</v>
      </c>
    </row>
    <row r="111" spans="1:2" x14ac:dyDescent="0.25">
      <c r="A111" s="5">
        <f t="shared" si="2"/>
        <v>1.2000000000000001E-3</v>
      </c>
      <c r="B111">
        <f t="shared" si="4"/>
        <v>36000</v>
      </c>
    </row>
    <row r="112" spans="1:2" x14ac:dyDescent="0.25">
      <c r="A112" s="5">
        <f t="shared" si="2"/>
        <v>1.5E-3</v>
      </c>
      <c r="B112">
        <f t="shared" si="4"/>
        <v>39000</v>
      </c>
    </row>
    <row r="113" spans="1:2" x14ac:dyDescent="0.25">
      <c r="A113" s="5">
        <f t="shared" si="2"/>
        <v>1.8000000000000002E-3</v>
      </c>
      <c r="B113">
        <f t="shared" si="4"/>
        <v>43000</v>
      </c>
    </row>
    <row r="114" spans="1:2" x14ac:dyDescent="0.25">
      <c r="A114" s="5">
        <f t="shared" si="2"/>
        <v>2.1999999999999997E-3</v>
      </c>
      <c r="B114">
        <f t="shared" si="4"/>
        <v>47000</v>
      </c>
    </row>
    <row r="115" spans="1:2" x14ac:dyDescent="0.25">
      <c r="A115" s="5">
        <f t="shared" si="2"/>
        <v>2.7000000000000006E-3</v>
      </c>
      <c r="B115">
        <f t="shared" si="4"/>
        <v>51000</v>
      </c>
    </row>
    <row r="116" spans="1:2" x14ac:dyDescent="0.25">
      <c r="A116" s="5">
        <f t="shared" si="2"/>
        <v>3.2999999999999995E-3</v>
      </c>
      <c r="B116">
        <f t="shared" si="4"/>
        <v>56000</v>
      </c>
    </row>
    <row r="117" spans="1:2" x14ac:dyDescent="0.25">
      <c r="A117" s="5">
        <f t="shared" si="2"/>
        <v>3.9000000000000007E-3</v>
      </c>
      <c r="B117">
        <f t="shared" si="4"/>
        <v>62000</v>
      </c>
    </row>
    <row r="118" spans="1:2" x14ac:dyDescent="0.25">
      <c r="A118" s="5">
        <f t="shared" si="2"/>
        <v>4.7000000000000002E-3</v>
      </c>
      <c r="B118">
        <f t="shared" si="4"/>
        <v>68000</v>
      </c>
    </row>
    <row r="119" spans="1:2" x14ac:dyDescent="0.25">
      <c r="A119" s="5">
        <f t="shared" si="2"/>
        <v>5.6000000000000008E-3</v>
      </c>
      <c r="B119">
        <f t="shared" si="4"/>
        <v>75000</v>
      </c>
    </row>
    <row r="120" spans="1:2" x14ac:dyDescent="0.25">
      <c r="A120" s="5">
        <f t="shared" si="2"/>
        <v>6.8000000000000014E-3</v>
      </c>
      <c r="B120">
        <f t="shared" si="4"/>
        <v>82000</v>
      </c>
    </row>
    <row r="121" spans="1:2" x14ac:dyDescent="0.25">
      <c r="A121" s="5">
        <f t="shared" si="2"/>
        <v>8.2000000000000024E-3</v>
      </c>
      <c r="B121">
        <f t="shared" si="4"/>
        <v>91000</v>
      </c>
    </row>
    <row r="122" spans="1:2" x14ac:dyDescent="0.25">
      <c r="A122" s="5">
        <f t="shared" si="2"/>
        <v>9.9999999999999985E-3</v>
      </c>
      <c r="B122">
        <f t="shared" si="4"/>
        <v>100000</v>
      </c>
    </row>
    <row r="123" spans="1:2" x14ac:dyDescent="0.25">
      <c r="A123" s="5">
        <f t="shared" si="2"/>
        <v>1.2E-2</v>
      </c>
      <c r="B123">
        <f t="shared" si="4"/>
        <v>110000</v>
      </c>
    </row>
    <row r="124" spans="1:2" x14ac:dyDescent="0.25">
      <c r="A124" s="5">
        <f t="shared" si="2"/>
        <v>1.4999999999999999E-2</v>
      </c>
      <c r="B124">
        <f t="shared" si="4"/>
        <v>120000</v>
      </c>
    </row>
    <row r="125" spans="1:2" x14ac:dyDescent="0.25">
      <c r="A125" s="5">
        <f t="shared" si="2"/>
        <v>1.8000000000000002E-2</v>
      </c>
      <c r="B125">
        <f t="shared" si="4"/>
        <v>130000</v>
      </c>
    </row>
    <row r="126" spans="1:2" x14ac:dyDescent="0.25">
      <c r="A126" s="5">
        <f t="shared" si="2"/>
        <v>2.1999999999999999E-2</v>
      </c>
      <c r="B126">
        <f t="shared" si="4"/>
        <v>150000</v>
      </c>
    </row>
    <row r="127" spans="1:2" x14ac:dyDescent="0.25">
      <c r="A127" s="5">
        <f t="shared" si="2"/>
        <v>2.7000000000000007E-2</v>
      </c>
      <c r="B127">
        <f t="shared" si="4"/>
        <v>160000</v>
      </c>
    </row>
    <row r="128" spans="1:2" x14ac:dyDescent="0.25">
      <c r="A128" s="5">
        <f t="shared" si="2"/>
        <v>3.2999999999999995E-2</v>
      </c>
      <c r="B128">
        <f t="shared" si="4"/>
        <v>180000</v>
      </c>
    </row>
    <row r="129" spans="1:2" x14ac:dyDescent="0.25">
      <c r="A129" s="5">
        <f t="shared" si="2"/>
        <v>3.9000000000000007E-2</v>
      </c>
      <c r="B129">
        <f t="shared" si="4"/>
        <v>200000</v>
      </c>
    </row>
    <row r="130" spans="1:2" x14ac:dyDescent="0.25">
      <c r="A130" s="5">
        <f t="shared" si="2"/>
        <v>4.7E-2</v>
      </c>
      <c r="B130">
        <f t="shared" si="4"/>
        <v>220000</v>
      </c>
    </row>
    <row r="131" spans="1:2" x14ac:dyDescent="0.25">
      <c r="A131" s="5">
        <f t="shared" si="2"/>
        <v>5.6000000000000008E-2</v>
      </c>
      <c r="B131">
        <f t="shared" si="4"/>
        <v>240000</v>
      </c>
    </row>
    <row r="132" spans="1:2" x14ac:dyDescent="0.25">
      <c r="A132" s="5">
        <f t="shared" si="2"/>
        <v>6.8000000000000019E-2</v>
      </c>
      <c r="B132">
        <f t="shared" si="4"/>
        <v>270000</v>
      </c>
    </row>
    <row r="133" spans="1:2" x14ac:dyDescent="0.25">
      <c r="A133" s="5">
        <f t="shared" si="2"/>
        <v>8.2000000000000017E-2</v>
      </c>
      <c r="B133">
        <f t="shared" si="4"/>
        <v>300000</v>
      </c>
    </row>
    <row r="134" spans="1:2" x14ac:dyDescent="0.25">
      <c r="A134" s="5">
        <f t="shared" si="2"/>
        <v>9.9999999999999978E-2</v>
      </c>
      <c r="B134">
        <f t="shared" si="4"/>
        <v>330000</v>
      </c>
    </row>
    <row r="135" spans="1:2" x14ac:dyDescent="0.25">
      <c r="A135" s="5">
        <f t="shared" si="2"/>
        <v>0.12</v>
      </c>
      <c r="B135">
        <f t="shared" si="4"/>
        <v>360000</v>
      </c>
    </row>
    <row r="136" spans="1:2" x14ac:dyDescent="0.25">
      <c r="A136" s="5">
        <f t="shared" si="2"/>
        <v>0.15</v>
      </c>
      <c r="B136">
        <f t="shared" si="4"/>
        <v>390000</v>
      </c>
    </row>
    <row r="137" spans="1:2" x14ac:dyDescent="0.25">
      <c r="A137" s="5">
        <f t="shared" si="2"/>
        <v>0.18000000000000002</v>
      </c>
      <c r="B137">
        <f t="shared" si="4"/>
        <v>430000</v>
      </c>
    </row>
    <row r="138" spans="1:2" x14ac:dyDescent="0.25">
      <c r="A138" s="5">
        <f t="shared" si="2"/>
        <v>0.21999999999999997</v>
      </c>
      <c r="B138">
        <f t="shared" si="4"/>
        <v>470000</v>
      </c>
    </row>
    <row r="139" spans="1:2" x14ac:dyDescent="0.25">
      <c r="A139" s="5">
        <f t="shared" si="2"/>
        <v>0.27000000000000007</v>
      </c>
      <c r="B139">
        <f t="shared" si="4"/>
        <v>510000</v>
      </c>
    </row>
    <row r="140" spans="1:2" x14ac:dyDescent="0.25">
      <c r="A140" s="5">
        <f t="shared" si="2"/>
        <v>0.32999999999999996</v>
      </c>
      <c r="B140">
        <f t="shared" si="4"/>
        <v>560000</v>
      </c>
    </row>
    <row r="141" spans="1:2" x14ac:dyDescent="0.25">
      <c r="A141" s="5">
        <f t="shared" si="2"/>
        <v>0.39000000000000007</v>
      </c>
      <c r="B141">
        <f t="shared" si="4"/>
        <v>620000</v>
      </c>
    </row>
    <row r="142" spans="1:2" x14ac:dyDescent="0.25">
      <c r="A142" s="5">
        <f t="shared" si="2"/>
        <v>0.47</v>
      </c>
      <c r="B142">
        <f t="shared" si="4"/>
        <v>680000</v>
      </c>
    </row>
    <row r="143" spans="1:2" x14ac:dyDescent="0.25">
      <c r="A143" s="5">
        <f t="shared" ref="A143:A158" si="5">A131*10</f>
        <v>0.56000000000000005</v>
      </c>
      <c r="B143">
        <f t="shared" si="4"/>
        <v>750000</v>
      </c>
    </row>
    <row r="144" spans="1:2" x14ac:dyDescent="0.25">
      <c r="A144" s="5">
        <f t="shared" si="5"/>
        <v>0.68000000000000016</v>
      </c>
      <c r="B144">
        <f t="shared" si="4"/>
        <v>820000</v>
      </c>
    </row>
    <row r="145" spans="1:2" x14ac:dyDescent="0.25">
      <c r="A145" s="5">
        <f t="shared" si="5"/>
        <v>0.82000000000000017</v>
      </c>
      <c r="B145">
        <f t="shared" si="4"/>
        <v>910000</v>
      </c>
    </row>
    <row r="146" spans="1:2" x14ac:dyDescent="0.25">
      <c r="A146" s="5">
        <f t="shared" si="5"/>
        <v>0.99999999999999978</v>
      </c>
      <c r="B146">
        <f t="shared" si="4"/>
        <v>1000000</v>
      </c>
    </row>
    <row r="147" spans="1:2" x14ac:dyDescent="0.25">
      <c r="A147" s="5">
        <f t="shared" si="5"/>
        <v>1.2</v>
      </c>
      <c r="B147">
        <f t="shared" si="4"/>
        <v>1100000</v>
      </c>
    </row>
    <row r="148" spans="1:2" x14ac:dyDescent="0.25">
      <c r="A148" s="5">
        <f t="shared" si="5"/>
        <v>1.5</v>
      </c>
      <c r="B148">
        <f t="shared" si="4"/>
        <v>1200000</v>
      </c>
    </row>
    <row r="149" spans="1:2" x14ac:dyDescent="0.25">
      <c r="A149" s="5">
        <f t="shared" si="5"/>
        <v>1.8000000000000003</v>
      </c>
      <c r="B149">
        <f t="shared" si="4"/>
        <v>1300000</v>
      </c>
    </row>
    <row r="150" spans="1:2" x14ac:dyDescent="0.25">
      <c r="A150" s="5">
        <f t="shared" si="5"/>
        <v>2.1999999999999997</v>
      </c>
      <c r="B150">
        <f t="shared" si="4"/>
        <v>1500000</v>
      </c>
    </row>
    <row r="151" spans="1:2" x14ac:dyDescent="0.25">
      <c r="A151" s="5">
        <f t="shared" si="5"/>
        <v>2.7000000000000006</v>
      </c>
      <c r="B151">
        <f t="shared" si="4"/>
        <v>1600000</v>
      </c>
    </row>
    <row r="152" spans="1:2" x14ac:dyDescent="0.25">
      <c r="A152" s="5">
        <f t="shared" si="5"/>
        <v>3.3</v>
      </c>
      <c r="B152">
        <f t="shared" si="4"/>
        <v>1800000</v>
      </c>
    </row>
    <row r="153" spans="1:2" x14ac:dyDescent="0.25">
      <c r="A153" s="5">
        <f t="shared" si="5"/>
        <v>3.9000000000000008</v>
      </c>
      <c r="B153">
        <f t="shared" si="4"/>
        <v>2000000</v>
      </c>
    </row>
    <row r="154" spans="1:2" x14ac:dyDescent="0.25">
      <c r="A154" s="5">
        <f t="shared" si="5"/>
        <v>4.6999999999999993</v>
      </c>
      <c r="B154">
        <f t="shared" si="4"/>
        <v>2200000</v>
      </c>
    </row>
    <row r="155" spans="1:2" x14ac:dyDescent="0.25">
      <c r="A155" s="5">
        <f t="shared" si="5"/>
        <v>5.6000000000000005</v>
      </c>
      <c r="B155">
        <f t="shared" si="4"/>
        <v>2400000</v>
      </c>
    </row>
    <row r="156" spans="1:2" x14ac:dyDescent="0.25">
      <c r="A156" s="5">
        <f t="shared" si="5"/>
        <v>6.8000000000000016</v>
      </c>
      <c r="B156">
        <f t="shared" si="4"/>
        <v>2700000</v>
      </c>
    </row>
    <row r="157" spans="1:2" x14ac:dyDescent="0.25">
      <c r="A157" s="5">
        <f t="shared" si="5"/>
        <v>8.2000000000000011</v>
      </c>
      <c r="B157">
        <f t="shared" si="4"/>
        <v>3000000</v>
      </c>
    </row>
    <row r="158" spans="1:2" x14ac:dyDescent="0.25">
      <c r="A158" s="5">
        <f t="shared" si="5"/>
        <v>9.9999999999999982</v>
      </c>
      <c r="B158">
        <f t="shared" si="4"/>
        <v>3300000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C4" sqref="C4"/>
    </sheetView>
  </sheetViews>
  <sheetFormatPr defaultRowHeight="15" x14ac:dyDescent="0.25"/>
  <cols>
    <col min="1" max="1" width="10" customWidth="1"/>
    <col min="2" max="2" width="32.42578125" bestFit="1" customWidth="1"/>
    <col min="3" max="3" width="34" bestFit="1" customWidth="1"/>
  </cols>
  <sheetData>
    <row r="1" spans="1:3" x14ac:dyDescent="0.25">
      <c r="A1" s="3" t="s">
        <v>1</v>
      </c>
      <c r="B1" s="3" t="s">
        <v>2</v>
      </c>
      <c r="C1" s="3" t="s">
        <v>3</v>
      </c>
    </row>
    <row r="2" spans="1:3" x14ac:dyDescent="0.25">
      <c r="A2" s="2">
        <v>41572</v>
      </c>
      <c r="B2" t="s">
        <v>34</v>
      </c>
      <c r="C2" t="s">
        <v>4</v>
      </c>
    </row>
    <row r="3" spans="1:3" x14ac:dyDescent="0.25">
      <c r="A3" s="2">
        <v>41613</v>
      </c>
      <c r="B3" t="s">
        <v>34</v>
      </c>
      <c r="C3" t="s">
        <v>63</v>
      </c>
    </row>
    <row r="4" spans="1:3" x14ac:dyDescent="0.25">
      <c r="A4" t="s">
        <v>148</v>
      </c>
      <c r="B4" t="s">
        <v>149</v>
      </c>
      <c r="C4" t="s">
        <v>150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97E862015E1D4EA0DF68EC3CA88EA5" ma:contentTypeVersion="2" ma:contentTypeDescription="Create a new document." ma:contentTypeScope="" ma:versionID="b6348693205bd432de35c320f541c601">
  <xsd:schema xmlns:xsd="http://www.w3.org/2001/XMLSchema" xmlns:xs="http://www.w3.org/2001/XMLSchema" xmlns:p="http://schemas.microsoft.com/office/2006/metadata/properties" xmlns:ns1="http://schemas.microsoft.com/sharepoint/v3" xmlns:ns2="760b1fc2-98a4-443b-a0ab-0dd5695ca36e" targetNamespace="http://schemas.microsoft.com/office/2006/metadata/properties" ma:root="true" ma:fieldsID="8c0f6d6f7cc374cb34a3b44de03902c2" ns1:_="" ns2:_="">
    <xsd:import namespace="http://schemas.microsoft.com/sharepoint/v3"/>
    <xsd:import namespace="760b1fc2-98a4-443b-a0ab-0dd5695ca36e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0b1fc2-98a4-443b-a0ab-0dd5695ca36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054B2A1-2808-48A2-B087-54AEB5801EE3}"/>
</file>

<file path=customXml/itemProps2.xml><?xml version="1.0" encoding="utf-8"?>
<ds:datastoreItem xmlns:ds="http://schemas.openxmlformats.org/officeDocument/2006/customXml" ds:itemID="{7305B434-E4A0-4AD6-84E2-E79739EE3D9A}"/>
</file>

<file path=customXml/itemProps3.xml><?xml version="1.0" encoding="utf-8"?>
<ds:datastoreItem xmlns:ds="http://schemas.openxmlformats.org/officeDocument/2006/customXml" ds:itemID="{35765622-698C-4AB6-AABE-50D2FB93132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PLL Block Diagram</vt:lpstr>
      <vt:lpstr>4thOrderLoop</vt:lpstr>
      <vt:lpstr>5thOrderLoop</vt:lpstr>
      <vt:lpstr>4thOrderClosedLoopPhaseNoise</vt:lpstr>
      <vt:lpstr>5thOrderClosedLoopPhaseNoise</vt:lpstr>
      <vt:lpstr>Diagrams</vt:lpstr>
      <vt:lpstr>RC_values</vt:lpstr>
      <vt:lpstr>rev</vt:lpstr>
      <vt:lpstr>'5thOrderLoop'!Print_Area</vt:lpstr>
      <vt:lpstr>StdCapVal</vt:lpstr>
      <vt:lpstr>StdRVal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2016-05-23T16:46:48Z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0x0101001F97E862015E1D4EA0DF68EC3CA88EA5</vt:lpwstr>
  </property>
</Properties>
</file>